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ilenebassler/Desktop/"/>
    </mc:Choice>
  </mc:AlternateContent>
  <bookViews>
    <workbookView xWindow="0" yWindow="460" windowWidth="28800" windowHeight="15560" activeTab="1"/>
  </bookViews>
  <sheets>
    <sheet name="OOP" sheetId="1" r:id="rId1"/>
    <sheet name="Butterfly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2" l="1"/>
  <c r="P24" i="2"/>
  <c r="Q24" i="2"/>
  <c r="O25" i="2"/>
  <c r="P25" i="2"/>
  <c r="J26" i="2"/>
  <c r="O26" i="2"/>
  <c r="U26" i="2"/>
  <c r="P26" i="2"/>
  <c r="O27" i="2"/>
  <c r="P27" i="2"/>
  <c r="J28" i="2"/>
  <c r="O28" i="2"/>
  <c r="P28" i="2"/>
  <c r="J29" i="2"/>
  <c r="O29" i="2"/>
  <c r="P29" i="2"/>
  <c r="H30" i="2"/>
  <c r="I30" i="2"/>
  <c r="O32" i="2"/>
  <c r="P32" i="2"/>
  <c r="O33" i="2"/>
  <c r="P33" i="2"/>
  <c r="J34" i="2"/>
  <c r="O34" i="2"/>
  <c r="P34" i="2"/>
  <c r="O35" i="2"/>
  <c r="P35" i="2"/>
  <c r="Q35" i="2"/>
  <c r="J36" i="2"/>
  <c r="O36" i="2"/>
  <c r="P36" i="2"/>
  <c r="J37" i="2"/>
  <c r="O37" i="2"/>
  <c r="P37" i="2"/>
  <c r="H38" i="2"/>
  <c r="I38" i="2"/>
  <c r="S40" i="2"/>
  <c r="S41" i="2"/>
  <c r="S42" i="2"/>
  <c r="S43" i="2"/>
  <c r="S44" i="2"/>
  <c r="S45" i="2"/>
  <c r="S46" i="2"/>
  <c r="T40" i="2"/>
  <c r="T41" i="2"/>
  <c r="T42" i="2"/>
  <c r="T43" i="2"/>
  <c r="T44" i="2"/>
  <c r="T45" i="2"/>
  <c r="T46" i="2"/>
  <c r="O6" i="2"/>
  <c r="P6" i="2"/>
  <c r="O7" i="2"/>
  <c r="P7" i="2"/>
  <c r="J8" i="2"/>
  <c r="U8" i="2"/>
  <c r="O8" i="2"/>
  <c r="P8" i="2"/>
  <c r="Q8" i="2"/>
  <c r="O9" i="2"/>
  <c r="P9" i="2"/>
  <c r="J10" i="2"/>
  <c r="O10" i="2"/>
  <c r="P10" i="2"/>
  <c r="J11" i="2"/>
  <c r="O11" i="2"/>
  <c r="P11" i="2"/>
  <c r="Q11" i="2"/>
  <c r="H12" i="2"/>
  <c r="I12" i="2"/>
  <c r="O14" i="2"/>
  <c r="P14" i="2"/>
  <c r="Q14" i="2"/>
  <c r="O15" i="2"/>
  <c r="P15" i="2"/>
  <c r="J16" i="2"/>
  <c r="O16" i="2"/>
  <c r="P16" i="2"/>
  <c r="U16" i="2"/>
  <c r="O17" i="2"/>
  <c r="P17" i="2"/>
  <c r="J18" i="2"/>
  <c r="O18" i="2"/>
  <c r="P18" i="2"/>
  <c r="J19" i="2"/>
  <c r="O19" i="2"/>
  <c r="P19" i="2"/>
  <c r="H20" i="2"/>
  <c r="I20" i="2"/>
  <c r="O49" i="2"/>
  <c r="P49" i="2"/>
  <c r="O50" i="2"/>
  <c r="P50" i="2"/>
  <c r="J51" i="2"/>
  <c r="O51" i="2"/>
  <c r="P51" i="2"/>
  <c r="Q51" i="2"/>
  <c r="O52" i="2"/>
  <c r="P52" i="2"/>
  <c r="J53" i="2"/>
  <c r="O53" i="2"/>
  <c r="P53" i="2"/>
  <c r="J54" i="2"/>
  <c r="O54" i="2"/>
  <c r="P54" i="2"/>
  <c r="H55" i="2"/>
  <c r="I55" i="2"/>
  <c r="O57" i="2"/>
  <c r="P57" i="2"/>
  <c r="Q57" i="2"/>
  <c r="J58" i="2"/>
  <c r="O58" i="2"/>
  <c r="P58" i="2"/>
  <c r="Q58" i="2"/>
  <c r="J59" i="2"/>
  <c r="O59" i="2"/>
  <c r="P59" i="2"/>
  <c r="O60" i="2"/>
  <c r="P60" i="2"/>
  <c r="J61" i="2"/>
  <c r="O61" i="2"/>
  <c r="P61" i="2"/>
  <c r="J62" i="2"/>
  <c r="O62" i="2"/>
  <c r="P62" i="2"/>
  <c r="H63" i="2"/>
  <c r="I63" i="2"/>
  <c r="S65" i="2"/>
  <c r="S66" i="2"/>
  <c r="S67" i="2"/>
  <c r="S68" i="2"/>
  <c r="S69" i="2"/>
  <c r="S70" i="2"/>
  <c r="T65" i="2"/>
  <c r="T66" i="2"/>
  <c r="T67" i="2"/>
  <c r="T68" i="2"/>
  <c r="T69" i="2"/>
  <c r="T70" i="2"/>
  <c r="O73" i="2"/>
  <c r="P73" i="2"/>
  <c r="Q73" i="2"/>
  <c r="O74" i="2"/>
  <c r="P74" i="2"/>
  <c r="J75" i="2"/>
  <c r="O75" i="2"/>
  <c r="P75" i="2"/>
  <c r="U75" i="2"/>
  <c r="O76" i="2"/>
  <c r="P76" i="2"/>
  <c r="J77" i="2"/>
  <c r="O77" i="2"/>
  <c r="P77" i="2"/>
  <c r="Q77" i="2"/>
  <c r="J78" i="2"/>
  <c r="O78" i="2"/>
  <c r="P78" i="2"/>
  <c r="H79" i="2"/>
  <c r="I79" i="2"/>
  <c r="O81" i="2"/>
  <c r="P81" i="2"/>
  <c r="O82" i="2"/>
  <c r="P82" i="2"/>
  <c r="Q82" i="2"/>
  <c r="J83" i="2"/>
  <c r="O83" i="2"/>
  <c r="P83" i="2"/>
  <c r="O84" i="2"/>
  <c r="P84" i="2"/>
  <c r="Q84" i="2"/>
  <c r="J85" i="2"/>
  <c r="O85" i="2"/>
  <c r="U85" i="2"/>
  <c r="P85" i="2"/>
  <c r="Q85" i="2"/>
  <c r="J86" i="2"/>
  <c r="O86" i="2"/>
  <c r="P86" i="2"/>
  <c r="H87" i="2"/>
  <c r="I87" i="2"/>
  <c r="S89" i="2"/>
  <c r="S90" i="2"/>
  <c r="S91" i="2"/>
  <c r="S92" i="2"/>
  <c r="S93" i="2"/>
  <c r="S94" i="2"/>
  <c r="S95" i="2"/>
  <c r="T89" i="2"/>
  <c r="T90" i="2"/>
  <c r="T91" i="2"/>
  <c r="T92" i="2"/>
  <c r="T93" i="2"/>
  <c r="T94" i="2"/>
  <c r="O98" i="2"/>
  <c r="P98" i="2"/>
  <c r="J99" i="2"/>
  <c r="O99" i="2"/>
  <c r="P99" i="2"/>
  <c r="O100" i="2"/>
  <c r="P100" i="2"/>
  <c r="O101" i="2"/>
  <c r="P101" i="2"/>
  <c r="J102" i="2"/>
  <c r="O102" i="2"/>
  <c r="P102" i="2"/>
  <c r="J103" i="2"/>
  <c r="O103" i="2"/>
  <c r="P103" i="2"/>
  <c r="H104" i="2"/>
  <c r="I104" i="2"/>
  <c r="O106" i="2"/>
  <c r="P106" i="2"/>
  <c r="J107" i="2"/>
  <c r="O107" i="2"/>
  <c r="P107" i="2"/>
  <c r="O108" i="2"/>
  <c r="P108" i="2"/>
  <c r="O109" i="2"/>
  <c r="P109" i="2"/>
  <c r="Q109" i="2"/>
  <c r="J110" i="2"/>
  <c r="O110" i="2"/>
  <c r="P110" i="2"/>
  <c r="Q110" i="2"/>
  <c r="J111" i="2"/>
  <c r="O111" i="2"/>
  <c r="P111" i="2"/>
  <c r="H112" i="2"/>
  <c r="I112" i="2"/>
  <c r="T115" i="2"/>
  <c r="T116" i="2"/>
  <c r="T117" i="2"/>
  <c r="T118" i="2"/>
  <c r="T119" i="2"/>
  <c r="O123" i="2"/>
  <c r="P123" i="2"/>
  <c r="Q123" i="2"/>
  <c r="O124" i="2"/>
  <c r="P124" i="2"/>
  <c r="J125" i="2"/>
  <c r="U125" i="2"/>
  <c r="O125" i="2"/>
  <c r="P125" i="2"/>
  <c r="O126" i="2"/>
  <c r="P126" i="2"/>
  <c r="J127" i="2"/>
  <c r="O127" i="2"/>
  <c r="P127" i="2"/>
  <c r="J128" i="2"/>
  <c r="O128" i="2"/>
  <c r="P128" i="2"/>
  <c r="H129" i="2"/>
  <c r="I129" i="2"/>
  <c r="O131" i="2"/>
  <c r="P131" i="2"/>
  <c r="O132" i="2"/>
  <c r="P132" i="2"/>
  <c r="J133" i="2"/>
  <c r="U133" i="2"/>
  <c r="O133" i="2"/>
  <c r="P133" i="2"/>
  <c r="O134" i="2"/>
  <c r="P134" i="2"/>
  <c r="J135" i="2"/>
  <c r="O135" i="2"/>
  <c r="P135" i="2"/>
  <c r="J136" i="2"/>
  <c r="O136" i="2"/>
  <c r="U136" i="2"/>
  <c r="P136" i="2"/>
  <c r="Q136" i="2"/>
  <c r="H137" i="2"/>
  <c r="I137" i="2"/>
  <c r="J137" i="2"/>
  <c r="S139" i="2"/>
  <c r="S140" i="2"/>
  <c r="S141" i="2"/>
  <c r="S142" i="2"/>
  <c r="S143" i="2"/>
  <c r="S144" i="2"/>
  <c r="S145" i="2"/>
  <c r="T139" i="2"/>
  <c r="T140" i="2"/>
  <c r="T141" i="2"/>
  <c r="T142" i="2"/>
  <c r="T143" i="2"/>
  <c r="T144" i="2"/>
  <c r="O148" i="2"/>
  <c r="P148" i="2"/>
  <c r="Q148" i="2"/>
  <c r="O149" i="2"/>
  <c r="P149" i="2"/>
  <c r="Q149" i="2"/>
  <c r="J150" i="2"/>
  <c r="O150" i="2"/>
  <c r="P150" i="2"/>
  <c r="O151" i="2"/>
  <c r="P151" i="2"/>
  <c r="J152" i="2"/>
  <c r="O152" i="2"/>
  <c r="P152" i="2"/>
  <c r="Q152" i="2"/>
  <c r="J153" i="2"/>
  <c r="O153" i="2"/>
  <c r="P153" i="2"/>
  <c r="H154" i="2"/>
  <c r="I154" i="2"/>
  <c r="O156" i="2"/>
  <c r="P156" i="2"/>
  <c r="O157" i="2"/>
  <c r="P157" i="2"/>
  <c r="J158" i="2"/>
  <c r="O158" i="2"/>
  <c r="P158" i="2"/>
  <c r="Q158" i="2"/>
  <c r="O159" i="2"/>
  <c r="P159" i="2"/>
  <c r="J160" i="2"/>
  <c r="O160" i="2"/>
  <c r="P160" i="2"/>
  <c r="J161" i="2"/>
  <c r="O161" i="2"/>
  <c r="P161" i="2"/>
  <c r="Q161" i="2"/>
  <c r="H162" i="2"/>
  <c r="I162" i="2"/>
  <c r="S164" i="2"/>
  <c r="S165" i="2"/>
  <c r="S166" i="2"/>
  <c r="S167" i="2"/>
  <c r="S168" i="2"/>
  <c r="S169" i="2"/>
  <c r="S170" i="2"/>
  <c r="T164" i="2"/>
  <c r="T165" i="2"/>
  <c r="T166" i="2"/>
  <c r="T167" i="2"/>
  <c r="T168" i="2"/>
  <c r="T169" i="2"/>
  <c r="O173" i="2"/>
  <c r="P173" i="2"/>
  <c r="O174" i="2"/>
  <c r="P174" i="2"/>
  <c r="J175" i="2"/>
  <c r="O175" i="2"/>
  <c r="U175" i="2"/>
  <c r="P175" i="2"/>
  <c r="O176" i="2"/>
  <c r="P176" i="2"/>
  <c r="J177" i="2"/>
  <c r="O177" i="2"/>
  <c r="P177" i="2"/>
  <c r="J178" i="2"/>
  <c r="O178" i="2"/>
  <c r="P178" i="2"/>
  <c r="H179" i="2"/>
  <c r="I179" i="2"/>
  <c r="O181" i="2"/>
  <c r="P181" i="2"/>
  <c r="O182" i="2"/>
  <c r="P182" i="2"/>
  <c r="J183" i="2"/>
  <c r="O183" i="2"/>
  <c r="P183" i="2"/>
  <c r="O184" i="2"/>
  <c r="P184" i="2"/>
  <c r="J185" i="2"/>
  <c r="O185" i="2"/>
  <c r="P185" i="2"/>
  <c r="J186" i="2"/>
  <c r="O186" i="2"/>
  <c r="P186" i="2"/>
  <c r="H187" i="2"/>
  <c r="I187" i="2"/>
  <c r="S189" i="2"/>
  <c r="S190" i="2"/>
  <c r="S191" i="2"/>
  <c r="T189" i="2"/>
  <c r="T190" i="2"/>
  <c r="T191" i="2"/>
  <c r="T192" i="2"/>
  <c r="T193" i="2"/>
  <c r="T194" i="2"/>
  <c r="O198" i="2"/>
  <c r="P198" i="2"/>
  <c r="Q198" i="2"/>
  <c r="O199" i="2"/>
  <c r="P199" i="2"/>
  <c r="J200" i="2"/>
  <c r="O200" i="2"/>
  <c r="U200" i="2"/>
  <c r="P200" i="2"/>
  <c r="O201" i="2"/>
  <c r="P201" i="2"/>
  <c r="J202" i="2"/>
  <c r="O202" i="2"/>
  <c r="P202" i="2"/>
  <c r="J203" i="2"/>
  <c r="O203" i="2"/>
  <c r="P203" i="2"/>
  <c r="H204" i="2"/>
  <c r="I204" i="2"/>
  <c r="O206" i="2"/>
  <c r="P206" i="2"/>
  <c r="O207" i="2"/>
  <c r="P207" i="2"/>
  <c r="J208" i="2"/>
  <c r="O208" i="2"/>
  <c r="P208" i="2"/>
  <c r="Q208" i="2"/>
  <c r="O209" i="2"/>
  <c r="P209" i="2"/>
  <c r="J210" i="2"/>
  <c r="O210" i="2"/>
  <c r="P210" i="2"/>
  <c r="J211" i="2"/>
  <c r="O211" i="2"/>
  <c r="P211" i="2"/>
  <c r="H212" i="2"/>
  <c r="I212" i="2"/>
  <c r="S214" i="2"/>
  <c r="S215" i="2"/>
  <c r="S216" i="2"/>
  <c r="T214" i="2"/>
  <c r="T215" i="2"/>
  <c r="T216" i="2"/>
  <c r="T217" i="2"/>
  <c r="T218" i="2"/>
  <c r="T219" i="2"/>
  <c r="O223" i="2"/>
  <c r="P223" i="2"/>
  <c r="O224" i="2"/>
  <c r="P224" i="2"/>
  <c r="J225" i="2"/>
  <c r="O225" i="2"/>
  <c r="P225" i="2"/>
  <c r="O226" i="2"/>
  <c r="P226" i="2"/>
  <c r="J227" i="2"/>
  <c r="O227" i="2"/>
  <c r="P227" i="2"/>
  <c r="J228" i="2"/>
  <c r="O228" i="2"/>
  <c r="P228" i="2"/>
  <c r="H229" i="2"/>
  <c r="I229" i="2"/>
  <c r="O231" i="2"/>
  <c r="P231" i="2"/>
  <c r="O232" i="2"/>
  <c r="P232" i="2"/>
  <c r="J233" i="2"/>
  <c r="O233" i="2"/>
  <c r="P233" i="2"/>
  <c r="O234" i="2"/>
  <c r="P234" i="2"/>
  <c r="J235" i="2"/>
  <c r="O235" i="2"/>
  <c r="U235" i="2"/>
  <c r="P235" i="2"/>
  <c r="J236" i="2"/>
  <c r="O236" i="2"/>
  <c r="P236" i="2"/>
  <c r="H237" i="2"/>
  <c r="I237" i="2"/>
  <c r="J237" i="2"/>
  <c r="S239" i="2"/>
  <c r="S240" i="2"/>
  <c r="S241" i="2"/>
  <c r="T239" i="2"/>
  <c r="T240" i="2"/>
  <c r="T241" i="2"/>
  <c r="T242" i="2"/>
  <c r="T243" i="2"/>
  <c r="T244" i="2"/>
  <c r="Q74" i="2"/>
  <c r="U62" i="2"/>
  <c r="U51" i="2"/>
  <c r="Q19" i="2"/>
  <c r="Q236" i="2"/>
  <c r="U228" i="2"/>
  <c r="U225" i="2"/>
  <c r="J212" i="2"/>
  <c r="U211" i="2"/>
  <c r="Q206" i="2"/>
  <c r="Q200" i="2"/>
  <c r="Q202" i="2"/>
  <c r="R199" i="2"/>
  <c r="R200" i="2"/>
  <c r="R203" i="2"/>
  <c r="Q186" i="2"/>
  <c r="Q177" i="2"/>
  <c r="Q174" i="2"/>
  <c r="U150" i="2"/>
  <c r="U135" i="2"/>
  <c r="Q133" i="2"/>
  <c r="Q127" i="2"/>
  <c r="U111" i="2"/>
  <c r="Q75" i="2"/>
  <c r="Q52" i="2"/>
  <c r="Q10" i="2"/>
  <c r="Q32" i="2"/>
  <c r="Q33" i="2"/>
  <c r="Q37" i="2"/>
  <c r="R32" i="2"/>
  <c r="Q29" i="2"/>
  <c r="Q231" i="2"/>
  <c r="Q225" i="2"/>
  <c r="Q227" i="2"/>
  <c r="R224" i="2"/>
  <c r="R225" i="2"/>
  <c r="R228" i="2"/>
  <c r="Q211" i="2"/>
  <c r="U161" i="2"/>
  <c r="Q126" i="2"/>
  <c r="Q49" i="2"/>
  <c r="U18" i="2"/>
  <c r="Q15" i="2"/>
  <c r="J187" i="2"/>
  <c r="Q173" i="2"/>
  <c r="Q62" i="2"/>
  <c r="Q60" i="2"/>
  <c r="R57" i="2"/>
  <c r="U53" i="2"/>
  <c r="Q233" i="2"/>
  <c r="U183" i="2"/>
  <c r="Q181" i="2"/>
  <c r="Q178" i="2"/>
  <c r="Q159" i="2"/>
  <c r="U158" i="2"/>
  <c r="Q156" i="2"/>
  <c r="Q124" i="2"/>
  <c r="Q78" i="2"/>
  <c r="Q16" i="2"/>
  <c r="Q9" i="2"/>
  <c r="U36" i="2"/>
  <c r="Q25" i="2"/>
  <c r="Q207" i="2"/>
  <c r="Q201" i="2"/>
  <c r="Q132" i="2"/>
  <c r="Q131" i="2"/>
  <c r="Q134" i="2"/>
  <c r="Q135" i="2"/>
  <c r="Q137" i="2"/>
  <c r="Q98" i="2"/>
  <c r="J79" i="2"/>
  <c r="U28" i="2"/>
  <c r="Q26" i="2"/>
  <c r="U210" i="2"/>
  <c r="U208" i="2"/>
  <c r="Q183" i="2"/>
  <c r="Q182" i="2"/>
  <c r="Q176" i="2"/>
  <c r="R173" i="2"/>
  <c r="Q151" i="2"/>
  <c r="J87" i="2"/>
  <c r="Q232" i="2"/>
  <c r="Q226" i="2"/>
  <c r="R7" i="2"/>
  <c r="R8" i="2"/>
  <c r="R11" i="2"/>
  <c r="Q83" i="2"/>
  <c r="R82" i="2"/>
  <c r="R83" i="2"/>
  <c r="R86" i="2"/>
  <c r="R74" i="2"/>
  <c r="R75" i="2"/>
  <c r="R78" i="2"/>
  <c r="U11" i="2"/>
  <c r="Q36" i="2"/>
  <c r="Q235" i="2"/>
  <c r="R232" i="2"/>
  <c r="R233" i="2"/>
  <c r="R236" i="2"/>
  <c r="U233" i="2"/>
  <c r="J229" i="2"/>
  <c r="U227" i="2"/>
  <c r="J204" i="2"/>
  <c r="Q184" i="2"/>
  <c r="R181" i="2"/>
  <c r="P189" i="2"/>
  <c r="P190" i="2"/>
  <c r="P191" i="2"/>
  <c r="P192" i="2"/>
  <c r="P193" i="2"/>
  <c r="P194" i="2"/>
  <c r="P195" i="2"/>
  <c r="J179" i="2"/>
  <c r="J162" i="2"/>
  <c r="Q157" i="2"/>
  <c r="U110" i="2"/>
  <c r="Q101" i="2"/>
  <c r="Q99" i="2"/>
  <c r="U78" i="2"/>
  <c r="Q61" i="2"/>
  <c r="Q53" i="2"/>
  <c r="R50" i="2"/>
  <c r="R51" i="2"/>
  <c r="R54" i="2"/>
  <c r="Q50" i="2"/>
  <c r="Q54" i="2"/>
  <c r="Q55" i="2"/>
  <c r="U19" i="2"/>
  <c r="Q6" i="2"/>
  <c r="U37" i="2"/>
  <c r="U29" i="2"/>
  <c r="Q223" i="2"/>
  <c r="U202" i="2"/>
  <c r="U186" i="2"/>
  <c r="U177" i="2"/>
  <c r="Q160" i="2"/>
  <c r="R157" i="2"/>
  <c r="R158" i="2"/>
  <c r="R161" i="2"/>
  <c r="U152" i="2"/>
  <c r="Q107" i="2"/>
  <c r="U103" i="2"/>
  <c r="U77" i="2"/>
  <c r="U10" i="2"/>
  <c r="U236" i="2"/>
  <c r="R132" i="2"/>
  <c r="R133" i="2"/>
  <c r="R136" i="2"/>
  <c r="U127" i="2"/>
  <c r="Q108" i="2"/>
  <c r="R107" i="2"/>
  <c r="R108" i="2"/>
  <c r="Q103" i="2"/>
  <c r="Q7" i="2"/>
  <c r="Q114" i="2"/>
  <c r="Q199" i="2"/>
  <c r="Q153" i="2"/>
  <c r="R148" i="2"/>
  <c r="U153" i="2"/>
  <c r="Q106" i="2"/>
  <c r="Q234" i="2"/>
  <c r="Q228" i="2"/>
  <c r="Q224" i="2"/>
  <c r="Q210" i="2"/>
  <c r="R207" i="2"/>
  <c r="R208" i="2"/>
  <c r="R211" i="2"/>
  <c r="U178" i="2"/>
  <c r="J154" i="2"/>
  <c r="Q128" i="2"/>
  <c r="R123" i="2"/>
  <c r="U128" i="2"/>
  <c r="U108" i="2"/>
  <c r="J104" i="2"/>
  <c r="Q100" i="2"/>
  <c r="U100" i="2"/>
  <c r="R98" i="2"/>
  <c r="U83" i="2"/>
  <c r="Q59" i="2"/>
  <c r="R58" i="2"/>
  <c r="R59" i="2"/>
  <c r="R62" i="2"/>
  <c r="U59" i="2"/>
  <c r="Q209" i="2"/>
  <c r="Q203" i="2"/>
  <c r="R198" i="2"/>
  <c r="Q185" i="2"/>
  <c r="R182" i="2"/>
  <c r="R183" i="2"/>
  <c r="R156" i="2"/>
  <c r="U203" i="2"/>
  <c r="U185" i="2"/>
  <c r="Q187" i="2"/>
  <c r="U160" i="2"/>
  <c r="J129" i="2"/>
  <c r="U54" i="2"/>
  <c r="Q17" i="2"/>
  <c r="R14" i="2"/>
  <c r="Q27" i="2"/>
  <c r="Q34" i="2"/>
  <c r="R33" i="2"/>
  <c r="R34" i="2"/>
  <c r="R37" i="2"/>
  <c r="Q102" i="2"/>
  <c r="Q86" i="2"/>
  <c r="Q175" i="2"/>
  <c r="R174" i="2"/>
  <c r="R175" i="2"/>
  <c r="R178" i="2"/>
  <c r="Q150" i="2"/>
  <c r="R149" i="2"/>
  <c r="R150" i="2"/>
  <c r="R153" i="2"/>
  <c r="Q125" i="2"/>
  <c r="R124" i="2"/>
  <c r="R125" i="2"/>
  <c r="R128" i="2"/>
  <c r="Q111" i="2"/>
  <c r="U102" i="2"/>
  <c r="U86" i="2"/>
  <c r="Q81" i="2"/>
  <c r="Q76" i="2"/>
  <c r="U61" i="2"/>
  <c r="Q18" i="2"/>
  <c r="R15" i="2"/>
  <c r="R16" i="2"/>
  <c r="R19" i="2"/>
  <c r="U34" i="2"/>
  <c r="Q28" i="2"/>
  <c r="R25" i="2"/>
  <c r="R26" i="2"/>
  <c r="R29" i="2"/>
  <c r="R179" i="2"/>
  <c r="R24" i="2"/>
  <c r="R30" i="2"/>
  <c r="R202" i="2"/>
  <c r="R231" i="2"/>
  <c r="R73" i="2"/>
  <c r="R77" i="2"/>
  <c r="R206" i="2"/>
  <c r="P214" i="2"/>
  <c r="P215" i="2"/>
  <c r="P216" i="2"/>
  <c r="P217" i="2"/>
  <c r="P218" i="2"/>
  <c r="P219" i="2"/>
  <c r="P220" i="2"/>
  <c r="R49" i="2"/>
  <c r="R53" i="2"/>
  <c r="R131" i="2"/>
  <c r="R137" i="2"/>
  <c r="R63" i="2"/>
  <c r="R237" i="2"/>
  <c r="R152" i="2"/>
  <c r="Q179" i="2"/>
  <c r="Q38" i="2"/>
  <c r="Q162" i="2"/>
  <c r="Q237" i="2"/>
  <c r="R127" i="2"/>
  <c r="R223" i="2"/>
  <c r="R227" i="2"/>
  <c r="Q20" i="2"/>
  <c r="R20" i="2"/>
  <c r="R6" i="2"/>
  <c r="R10" i="2"/>
  <c r="Q12" i="2"/>
  <c r="R186" i="2"/>
  <c r="R187" i="2"/>
  <c r="R185" i="2"/>
  <c r="R210" i="2"/>
  <c r="R129" i="2"/>
  <c r="P65" i="2"/>
  <c r="P66" i="2"/>
  <c r="P67" i="2"/>
  <c r="P68" i="2"/>
  <c r="P69" i="2"/>
  <c r="P70" i="2"/>
  <c r="R61" i="2"/>
  <c r="R114" i="2"/>
  <c r="R111" i="2"/>
  <c r="R154" i="2"/>
  <c r="R36" i="2"/>
  <c r="P40" i="2"/>
  <c r="P41" i="2"/>
  <c r="P42" i="2"/>
  <c r="P43" i="2"/>
  <c r="P44" i="2"/>
  <c r="P45" i="2"/>
  <c r="P46" i="2"/>
  <c r="R99" i="2"/>
  <c r="R100" i="2"/>
  <c r="R103" i="2"/>
  <c r="R104" i="2"/>
  <c r="R38" i="2"/>
  <c r="R18" i="2"/>
  <c r="R135" i="2"/>
  <c r="P139" i="2"/>
  <c r="P140" i="2"/>
  <c r="P141" i="2"/>
  <c r="P142" i="2"/>
  <c r="P143" i="2"/>
  <c r="P144" i="2"/>
  <c r="P145" i="2"/>
  <c r="R106" i="2"/>
  <c r="Q112" i="2"/>
  <c r="Q229" i="2"/>
  <c r="Q212" i="2"/>
  <c r="R177" i="2"/>
  <c r="Q87" i="2"/>
  <c r="R81" i="2"/>
  <c r="Q63" i="2"/>
  <c r="R160" i="2"/>
  <c r="P164" i="2"/>
  <c r="P165" i="2"/>
  <c r="P166" i="2"/>
  <c r="P167" i="2"/>
  <c r="P168" i="2"/>
  <c r="P169" i="2"/>
  <c r="P170" i="2"/>
  <c r="Q129" i="2"/>
  <c r="R162" i="2"/>
  <c r="Q204" i="2"/>
  <c r="R79" i="2"/>
  <c r="Q79" i="2"/>
  <c r="R28" i="2"/>
  <c r="Q104" i="2"/>
  <c r="R204" i="2"/>
  <c r="R235" i="2"/>
  <c r="P239" i="2"/>
  <c r="P240" i="2"/>
  <c r="P241" i="2"/>
  <c r="P242" i="2"/>
  <c r="P243" i="2"/>
  <c r="P244" i="2"/>
  <c r="P245" i="2"/>
  <c r="Q30" i="2"/>
  <c r="Q154" i="2"/>
  <c r="R212" i="2"/>
  <c r="R55" i="2"/>
  <c r="R112" i="2"/>
  <c r="R229" i="2"/>
  <c r="R102" i="2"/>
  <c r="R12" i="2"/>
  <c r="P89" i="2"/>
  <c r="P90" i="2"/>
  <c r="P91" i="2"/>
  <c r="P92" i="2"/>
  <c r="P93" i="2"/>
  <c r="P94" i="2"/>
  <c r="P95" i="2"/>
  <c r="R85" i="2"/>
  <c r="R87" i="2"/>
  <c r="P114" i="2"/>
  <c r="P115" i="2"/>
  <c r="P116" i="2"/>
  <c r="P117" i="2"/>
  <c r="P118" i="2"/>
  <c r="P119" i="2"/>
  <c r="P120" i="2"/>
  <c r="R110" i="2"/>
  <c r="T114" i="2"/>
  <c r="S114" i="2"/>
  <c r="S115" i="2"/>
  <c r="S116" i="2"/>
  <c r="S117" i="2"/>
  <c r="S118" i="2"/>
  <c r="S119" i="2"/>
  <c r="S120" i="2"/>
  <c r="I37" i="1"/>
  <c r="P36" i="1"/>
  <c r="O36" i="1"/>
  <c r="Q36" i="1"/>
  <c r="P35" i="1"/>
  <c r="O35" i="1"/>
  <c r="J35" i="1"/>
  <c r="R35" i="1"/>
  <c r="O34" i="1"/>
  <c r="R34" i="1"/>
  <c r="P34" i="1"/>
  <c r="Q34" i="1"/>
  <c r="U34" i="1"/>
  <c r="O33" i="1"/>
  <c r="R33" i="1"/>
  <c r="P33" i="1"/>
  <c r="O60" i="1"/>
  <c r="O59" i="1"/>
  <c r="O58" i="1"/>
  <c r="O57" i="1"/>
  <c r="O54" i="1"/>
  <c r="O53" i="1"/>
  <c r="O52" i="1"/>
  <c r="O51" i="1"/>
  <c r="O47" i="1"/>
  <c r="O46" i="1"/>
  <c r="O45" i="1"/>
  <c r="O42" i="1"/>
  <c r="O41" i="1"/>
  <c r="O40" i="1"/>
  <c r="O29" i="1"/>
  <c r="O28" i="1"/>
  <c r="O27" i="1"/>
  <c r="O26" i="1"/>
  <c r="O22" i="1"/>
  <c r="O21" i="1"/>
  <c r="O20" i="1"/>
  <c r="O19" i="1"/>
  <c r="O15" i="1"/>
  <c r="O14" i="1"/>
  <c r="O13" i="1"/>
  <c r="O12" i="1"/>
  <c r="O9" i="1"/>
  <c r="O8" i="1"/>
  <c r="O7" i="1"/>
  <c r="O6" i="1"/>
  <c r="Q33" i="1"/>
  <c r="U33" i="1"/>
  <c r="Q35" i="1"/>
  <c r="Q37" i="1"/>
  <c r="R36" i="1"/>
  <c r="I61" i="1"/>
  <c r="P60" i="1"/>
  <c r="Q60" i="1"/>
  <c r="P59" i="1"/>
  <c r="J59" i="1"/>
  <c r="R59" i="1"/>
  <c r="P58" i="1"/>
  <c r="R58" i="1"/>
  <c r="P57" i="1"/>
  <c r="U57" i="1"/>
  <c r="I55" i="1"/>
  <c r="P54" i="1"/>
  <c r="Q54" i="1"/>
  <c r="P53" i="1"/>
  <c r="J53" i="1"/>
  <c r="P52" i="1"/>
  <c r="R52" i="1"/>
  <c r="P51" i="1"/>
  <c r="U51" i="1"/>
  <c r="R37" i="1"/>
  <c r="R32" i="1"/>
  <c r="U35" i="1"/>
  <c r="Q59" i="1"/>
  <c r="R53" i="1"/>
  <c r="U58" i="1"/>
  <c r="R57" i="1"/>
  <c r="Q58" i="1"/>
  <c r="Q61" i="1"/>
  <c r="U52" i="1"/>
  <c r="Q53" i="1"/>
  <c r="R51" i="1"/>
  <c r="Q52" i="1"/>
  <c r="I48" i="1"/>
  <c r="P47" i="1"/>
  <c r="P46" i="1"/>
  <c r="U46" i="1"/>
  <c r="J46" i="1"/>
  <c r="P45" i="1"/>
  <c r="R45" i="1"/>
  <c r="J41" i="1"/>
  <c r="I43" i="1"/>
  <c r="P42" i="1"/>
  <c r="P41" i="1"/>
  <c r="U41" i="1"/>
  <c r="P40" i="1"/>
  <c r="R40" i="1"/>
  <c r="Q55" i="1"/>
  <c r="R54" i="1"/>
  <c r="R50" i="1"/>
  <c r="U59" i="1"/>
  <c r="R60" i="1"/>
  <c r="R56" i="1"/>
  <c r="U40" i="1"/>
  <c r="U45" i="1"/>
  <c r="R46" i="1"/>
  <c r="Q47" i="1"/>
  <c r="Q41" i="1"/>
  <c r="Q45" i="1"/>
  <c r="Q46" i="1"/>
  <c r="Q42" i="1"/>
  <c r="R41" i="1"/>
  <c r="Q40" i="1"/>
  <c r="U53" i="1"/>
  <c r="R61" i="1"/>
  <c r="R55" i="1"/>
  <c r="Q48" i="1"/>
  <c r="Q43" i="1"/>
  <c r="U42" i="1"/>
  <c r="U47" i="1"/>
  <c r="R42" i="1"/>
  <c r="R43" i="1"/>
  <c r="R47" i="1"/>
  <c r="R48" i="1"/>
  <c r="I30" i="1"/>
  <c r="P29" i="1"/>
  <c r="P28" i="1"/>
  <c r="J28" i="1"/>
  <c r="P27" i="1"/>
  <c r="P26" i="1"/>
  <c r="R26" i="1"/>
  <c r="R27" i="1"/>
  <c r="U27" i="1"/>
  <c r="U26" i="1"/>
  <c r="R39" i="1"/>
  <c r="R44" i="1"/>
  <c r="Q27" i="1"/>
  <c r="Q29" i="1"/>
  <c r="R28" i="1"/>
  <c r="Q28" i="1"/>
  <c r="I23" i="1"/>
  <c r="P22" i="1"/>
  <c r="P21" i="1"/>
  <c r="J21" i="1"/>
  <c r="P20" i="1"/>
  <c r="P19" i="1"/>
  <c r="R19" i="1"/>
  <c r="R20" i="1"/>
  <c r="U20" i="1"/>
  <c r="U19" i="1"/>
  <c r="Q20" i="1"/>
  <c r="Q30" i="1"/>
  <c r="U28" i="1"/>
  <c r="Q22" i="1"/>
  <c r="R21" i="1"/>
  <c r="Q21" i="1"/>
  <c r="R29" i="1"/>
  <c r="R25" i="1"/>
  <c r="Q23" i="1"/>
  <c r="U21" i="1"/>
  <c r="R30" i="1"/>
  <c r="R22" i="1"/>
  <c r="R18" i="1"/>
  <c r="R23" i="1"/>
  <c r="I16" i="1"/>
  <c r="P15" i="1"/>
  <c r="P14" i="1"/>
  <c r="J14" i="1"/>
  <c r="P13" i="1"/>
  <c r="P12" i="1"/>
  <c r="I10" i="1"/>
  <c r="P9" i="1"/>
  <c r="P8" i="1"/>
  <c r="J8" i="1"/>
  <c r="P7" i="1"/>
  <c r="P6" i="1"/>
  <c r="R13" i="1"/>
  <c r="U13" i="1"/>
  <c r="R12" i="1"/>
  <c r="U12" i="1"/>
  <c r="R6" i="1"/>
  <c r="U6" i="1"/>
  <c r="R7" i="1"/>
  <c r="U7" i="1"/>
  <c r="R14" i="1"/>
  <c r="Q12" i="1"/>
  <c r="Q8" i="1"/>
  <c r="Q15" i="1"/>
  <c r="R8" i="1"/>
  <c r="Q9" i="1"/>
  <c r="Q14" i="1"/>
  <c r="Q6" i="1"/>
  <c r="Q16" i="1"/>
  <c r="R15" i="1"/>
  <c r="Q10" i="1"/>
  <c r="U8" i="1"/>
  <c r="U14" i="1"/>
  <c r="R11" i="1"/>
  <c r="R16" i="1"/>
  <c r="R9" i="1"/>
  <c r="R10" i="1"/>
  <c r="R5" i="1"/>
</calcChain>
</file>

<file path=xl/sharedStrings.xml><?xml version="1.0" encoding="utf-8"?>
<sst xmlns="http://schemas.openxmlformats.org/spreadsheetml/2006/main" count="1338" uniqueCount="163">
  <si>
    <t>Call</t>
  </si>
  <si>
    <t>Put</t>
  </si>
  <si>
    <t>Spread</t>
  </si>
  <si>
    <t>Buy</t>
  </si>
  <si>
    <t>Sell</t>
  </si>
  <si>
    <t>Buy/Sell</t>
  </si>
  <si>
    <t>AAPL</t>
  </si>
  <si>
    <t>Bull Call</t>
  </si>
  <si>
    <t>Symbol</t>
  </si>
  <si>
    <t>Sell Credit</t>
  </si>
  <si>
    <t>Jan.18</t>
  </si>
  <si>
    <t>Spread Value</t>
  </si>
  <si>
    <t xml:space="preserve">Potential Gain </t>
  </si>
  <si>
    <t>Downside Cost</t>
  </si>
  <si>
    <r>
      <t>Net</t>
    </r>
    <r>
      <rPr>
        <b/>
        <sz val="11"/>
        <color theme="1"/>
        <rFont val="Calibri"/>
        <family val="2"/>
        <scheme val="minor"/>
      </rPr>
      <t xml:space="preserve"> Credit</t>
    </r>
    <r>
      <rPr>
        <b/>
        <sz val="11"/>
        <color rgb="FFFF0000"/>
        <rFont val="Calibri"/>
        <family val="2"/>
        <scheme val="minor"/>
      </rPr>
      <t>(Cost)</t>
    </r>
    <r>
      <rPr>
        <sz val="11"/>
        <color theme="1"/>
        <rFont val="Calibri"/>
        <family val="2"/>
        <scheme val="minor"/>
      </rPr>
      <t>/Share</t>
    </r>
  </si>
  <si>
    <t>1-Short</t>
  </si>
  <si>
    <t>2-Long</t>
  </si>
  <si>
    <t>3-Short</t>
  </si>
  <si>
    <t>Buy Long</t>
  </si>
  <si>
    <t>Sell Short</t>
  </si>
  <si>
    <r>
      <t xml:space="preserve">Buy </t>
    </r>
    <r>
      <rPr>
        <b/>
        <sz val="11"/>
        <color rgb="FFFF0000"/>
        <rFont val="Calibri"/>
        <family val="2"/>
        <scheme val="minor"/>
      </rPr>
      <t>(Debit)</t>
    </r>
  </si>
  <si>
    <t>$$</t>
  </si>
  <si>
    <t>Date</t>
  </si>
  <si>
    <t>1-Long</t>
  </si>
  <si>
    <t>2-Short</t>
  </si>
  <si>
    <t>Margin Reqmt's</t>
  </si>
  <si>
    <t>% Gain on Margin Rqmt</t>
  </si>
  <si>
    <t>Margin Rqmts.</t>
  </si>
  <si>
    <t>Potential Net Gain (NPV)</t>
  </si>
  <si>
    <t>BHI @</t>
  </si>
  <si>
    <t>Date: Aug.2 2016</t>
  </si>
  <si>
    <t xml:space="preserve">Buy </t>
  </si>
  <si>
    <t>Trending Up</t>
  </si>
  <si>
    <t>Price  $$</t>
  </si>
  <si>
    <t>SPWR</t>
  </si>
  <si>
    <t>Trending Down</t>
  </si>
  <si>
    <t>SPWR-Phil</t>
  </si>
  <si>
    <t>SPWR-Me</t>
  </si>
  <si>
    <t>Date: Aug.11 2016</t>
  </si>
  <si>
    <t xml:space="preserve">Sell 10 SPWR 2018 $10 puts for $2.90 ($2,900) 
Buy 10 SPWR 2018 $8 calls for $4.15 ($4,150)
Sell 10 SPWR 2018 $13 calls for $2.25 ($2,250) </t>
  </si>
  <si>
    <t xml:space="preserve">That's a $1,000 net credit on the $5,000 spread so potential for a $6,000 gain (+500%) in 16 months if SPWR is back over $13 - not too ambitious.  Worst case is you own 1,000 shares for net $9 ($9,000).  </t>
  </si>
  <si>
    <t>Jan.19</t>
  </si>
  <si>
    <t>LL</t>
  </si>
  <si>
    <t>Date:  Sep.30, 2016</t>
  </si>
  <si>
    <t>Date:  Oct.31 2016</t>
  </si>
  <si>
    <t>BHI- Me</t>
  </si>
  <si>
    <t>BHI-Phil</t>
  </si>
  <si>
    <t>Return on Margin (%)</t>
  </si>
  <si>
    <t>Target</t>
  </si>
  <si>
    <t>Actual</t>
  </si>
  <si>
    <t>Contrs. Plan'd</t>
  </si>
  <si>
    <t>Contr.s Bought</t>
  </si>
  <si>
    <t>Notes from PSW Recommendations</t>
  </si>
  <si>
    <t>Results</t>
  </si>
  <si>
    <r>
      <t>Credit</t>
    </r>
    <r>
      <rPr>
        <b/>
        <sz val="11"/>
        <color rgb="FFFF0000"/>
        <rFont val="Calibri"/>
        <family val="2"/>
        <scheme val="minor"/>
      </rPr>
      <t>(Cost)</t>
    </r>
    <r>
      <rPr>
        <b/>
        <sz val="11"/>
        <color theme="1"/>
        <rFont val="Calibri"/>
        <family val="2"/>
        <scheme val="minor"/>
      </rPr>
      <t>=</t>
    </r>
  </si>
  <si>
    <t>Potential Net ROI %</t>
  </si>
  <si>
    <t>Strike</t>
  </si>
  <si>
    <t>Stock-Phil</t>
  </si>
  <si>
    <t>Stock- Me</t>
  </si>
  <si>
    <t>Stock@</t>
  </si>
  <si>
    <t>FAZ/WFC</t>
  </si>
  <si>
    <t>Short  Term</t>
  </si>
  <si>
    <t>FAZ @</t>
  </si>
  <si>
    <t>Buy 10 FAZ Sept $31 calls for $3.25 ($3,250)  
Sell 10 FAZ Sept $36 calls for $1.30 ($1,300)  
Sell 5 WFC 2018 $40 puts for $2.80 ($1,400) </t>
  </si>
  <si>
    <t xml:space="preserve">That spread is net $550 on the $5,000 spread that's $2,700 in the money to start.  The upside potential is $4,450 for an 800% return on cash if FAZ is over $36 in 45 days (Sept 16th) and the worst case is you own 500 shares of Wells Fargo (WFC) at $40 ($20,000), which is a great long-term hold and pays a 3% dividend.    We're expecting XLF to turn down as the smaller banks check in and, if not, we'll kill the trade for a small loss by the end of next week.  </t>
  </si>
  <si>
    <t>Sell WFC</t>
  </si>
  <si>
    <t>Buy FAZ</t>
  </si>
  <si>
    <t>Sept.16</t>
  </si>
  <si>
    <t>Sell FAZ</t>
  </si>
  <si>
    <t>Net Credit(Cost)/Share</t>
  </si>
  <si>
    <r>
      <rPr>
        <b/>
        <sz val="11"/>
        <color theme="1"/>
        <rFont val="Calibri"/>
        <family val="2"/>
        <scheme val="minor"/>
      </rPr>
      <t>Credit</t>
    </r>
    <r>
      <rPr>
        <b/>
        <sz val="11"/>
        <color rgb="FFFF0000"/>
        <rFont val="Calibri"/>
        <family val="2"/>
        <scheme val="minor"/>
      </rPr>
      <t>(Cost)</t>
    </r>
    <r>
      <rPr>
        <b/>
        <sz val="11"/>
        <color theme="1"/>
        <rFont val="Calibri"/>
        <family val="2"/>
        <scheme val="minor"/>
      </rPr>
      <t>/Strategy</t>
    </r>
  </si>
  <si>
    <t>Potential Net Return %</t>
  </si>
  <si>
    <t>Total Shares</t>
  </si>
  <si>
    <t>Jan.17</t>
  </si>
  <si>
    <t>%</t>
  </si>
  <si>
    <t>Cumulative Inc.</t>
  </si>
  <si>
    <t>Income</t>
  </si>
  <si>
    <t>Revenue</t>
  </si>
  <si>
    <t>Profit</t>
  </si>
  <si>
    <t>Performance Tracking Table</t>
  </si>
  <si>
    <t>Cycles</t>
  </si>
  <si>
    <t>Annual ROI (%)</t>
  </si>
  <si>
    <r>
      <t>Net</t>
    </r>
    <r>
      <rPr>
        <b/>
        <sz val="11"/>
        <color theme="1"/>
        <rFont val="Calibri"/>
        <family val="2"/>
        <scheme val="minor"/>
      </rPr>
      <t xml:space="preserve"> Credit</t>
    </r>
    <r>
      <rPr>
        <b/>
        <sz val="11"/>
        <color rgb="FFFF0000"/>
        <rFont val="Calibri"/>
        <family val="2"/>
        <scheme val="minor"/>
      </rPr>
      <t>(Cost)</t>
    </r>
    <r>
      <rPr>
        <b/>
        <sz val="11"/>
        <color theme="1"/>
        <rFont val="Calibri"/>
        <family val="2"/>
        <scheme val="minor"/>
      </rPr>
      <t xml:space="preserve"> of 1st Cycle</t>
    </r>
  </si>
  <si>
    <t>Down</t>
  </si>
  <si>
    <t>Program Annual Income</t>
  </si>
  <si>
    <t>4-Short</t>
  </si>
  <si>
    <t>SellShort</t>
  </si>
  <si>
    <t>LT Put</t>
  </si>
  <si>
    <t>Cycles to breakeven</t>
  </si>
  <si>
    <t>ST Put</t>
  </si>
  <si>
    <t>4-Long</t>
  </si>
  <si>
    <t>BuyLong</t>
  </si>
  <si>
    <t>Up</t>
  </si>
  <si>
    <t>Cycle Income (1/2 of Rev.)</t>
  </si>
  <si>
    <t>ST Call</t>
  </si>
  <si>
    <t>Cycle Revenue</t>
  </si>
  <si>
    <r>
      <t xml:space="preserve">Startup </t>
    </r>
    <r>
      <rPr>
        <sz val="11"/>
        <color rgb="FFFF0000"/>
        <rFont val="Calibri"/>
        <family val="2"/>
        <scheme val="minor"/>
      </rPr>
      <t>(Cost)</t>
    </r>
    <r>
      <rPr>
        <sz val="11"/>
        <color theme="1"/>
        <rFont val="Calibri"/>
        <family val="2"/>
        <scheme val="minor"/>
      </rPr>
      <t xml:space="preserve"> Credit</t>
    </r>
  </si>
  <si>
    <t>LT Call</t>
  </si>
  <si>
    <t>Incr. Trend Purch. Sequence</t>
  </si>
  <si>
    <t>Incr. Stock Trend</t>
  </si>
  <si>
    <t>Price @</t>
  </si>
  <si>
    <t>Date:  Oct. 21,2016</t>
  </si>
  <si>
    <t>Repetitive</t>
  </si>
  <si>
    <t>XXX-Me</t>
  </si>
  <si>
    <t>Date:  Oct.20,2016</t>
  </si>
  <si>
    <t>XXX-Phil</t>
  </si>
  <si>
    <t>Date:  Nov.6,2016</t>
  </si>
  <si>
    <t>DIS-Me</t>
  </si>
  <si>
    <t>Date:  Nov.5,2016</t>
  </si>
  <si>
    <t>DIS-Phil</t>
  </si>
  <si>
    <t>Oct.16</t>
  </si>
  <si>
    <t>Date:  Nov. 6,2016</t>
  </si>
  <si>
    <t>AAPL-Me</t>
  </si>
  <si>
    <t>Apr.17</t>
  </si>
  <si>
    <t>AAPL-Phil</t>
  </si>
  <si>
    <t>TXN blew out its BTFY spread in Aug16.</t>
  </si>
  <si>
    <t>Date:  Aug.5,2016</t>
  </si>
  <si>
    <t>TXN-Now</t>
  </si>
  <si>
    <t>TXN-Phil</t>
  </si>
  <si>
    <t>5-Short</t>
  </si>
  <si>
    <t>Decr. Trend Purch. Sequence</t>
  </si>
  <si>
    <t>Decr. Stock Trend</t>
  </si>
  <si>
    <t>WMT-Now</t>
  </si>
  <si>
    <t>Nov.16</t>
  </si>
  <si>
    <t>Flat Trend Purch. Sequence</t>
  </si>
  <si>
    <t>Flat Trend</t>
  </si>
  <si>
    <t>Date:  Sep.15,2016</t>
  </si>
  <si>
    <t>WMT-Phil</t>
  </si>
  <si>
    <t>TGT-Me</t>
  </si>
  <si>
    <t>TGT-Phil</t>
  </si>
  <si>
    <t>Date:  Oct. 20,2016</t>
  </si>
  <si>
    <t>GIS-Me</t>
  </si>
  <si>
    <t>GIS-Phil</t>
  </si>
  <si>
    <t>Aug.16</t>
  </si>
  <si>
    <t>June.16</t>
  </si>
  <si>
    <t>May.16</t>
  </si>
  <si>
    <t>Date:  Feb.9,2015</t>
  </si>
  <si>
    <t>MSFT-Me</t>
  </si>
  <si>
    <t>MSFT-Phil</t>
  </si>
  <si>
    <t>Mar.16</t>
  </si>
  <si>
    <t>Date:  May 1,2016</t>
  </si>
  <si>
    <t>VLO-Me</t>
  </si>
  <si>
    <t>VLO-Phil</t>
  </si>
  <si>
    <t>Jul.16</t>
  </si>
  <si>
    <t>Jan.16</t>
  </si>
  <si>
    <t>Date:  Nov.19 2015</t>
  </si>
  <si>
    <t>PG-Me</t>
  </si>
  <si>
    <t>PG-Phil</t>
  </si>
  <si>
    <t>from Stock Direction</t>
  </si>
  <si>
    <t>Max. Downside Risk</t>
  </si>
  <si>
    <r>
      <rPr>
        <b/>
        <sz val="12"/>
        <color rgb="FFFF0000"/>
        <rFont val="Calibri"/>
        <family val="2"/>
        <scheme val="minor"/>
      </rPr>
      <t>(Debit)</t>
    </r>
    <r>
      <rPr>
        <b/>
        <sz val="12"/>
        <color theme="1"/>
        <rFont val="Calibri"/>
        <family val="2"/>
        <scheme val="minor"/>
      </rPr>
      <t xml:space="preserve"> Credit</t>
    </r>
  </si>
  <si>
    <t>Price/Sh. $$</t>
  </si>
  <si>
    <t>GCB Contracts Bought</t>
  </si>
  <si>
    <t>Contracts Planned</t>
  </si>
  <si>
    <t>Order of Strategy Commencement</t>
  </si>
  <si>
    <t>Spread or Risk Amt. ($)</t>
  </si>
  <si>
    <t>Sell $/Share Credit</t>
  </si>
  <si>
    <r>
      <t xml:space="preserve">Buy $/Share </t>
    </r>
    <r>
      <rPr>
        <b/>
        <sz val="11"/>
        <color rgb="FFFF0000"/>
        <rFont val="Calibri"/>
        <family val="2"/>
        <scheme val="minor"/>
      </rPr>
      <t>(Debit)</t>
    </r>
  </si>
  <si>
    <t>Exp. Date</t>
  </si>
  <si>
    <r>
      <rPr>
        <b/>
        <sz val="11"/>
        <color theme="1"/>
        <rFont val="Calibri"/>
        <family val="2"/>
        <scheme val="minor"/>
      </rPr>
      <t>Sell Strike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Short</t>
    </r>
  </si>
  <si>
    <r>
      <rPr>
        <b/>
        <sz val="11"/>
        <color theme="1"/>
        <rFont val="Calibri"/>
        <family val="2"/>
        <scheme val="minor"/>
      </rPr>
      <t>Buy Strike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1F10E2"/>
        <rFont val="Calibri"/>
        <family val="2"/>
        <scheme val="minor"/>
      </rPr>
      <t>Long</t>
    </r>
  </si>
  <si>
    <t>Strategy</t>
  </si>
  <si>
    <r>
      <rPr>
        <b/>
        <u/>
        <sz val="11"/>
        <color theme="1"/>
        <rFont val="Calibri"/>
        <family val="2"/>
        <scheme val="minor"/>
      </rPr>
      <t xml:space="preserve">Stock </t>
    </r>
    <r>
      <rPr>
        <sz val="11"/>
        <color theme="1"/>
        <rFont val="Calibri"/>
        <family val="2"/>
        <scheme val="minor"/>
      </rPr>
      <t>Options: Term LT/ST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</si>
</sst>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_);[Red]\(&quot;$&quot;#,##0\)"/>
    <numFmt numFmtId="165" formatCode="&quot;$&quot;#,##0.00_);[Red]\(&quot;$&quot;#,##0.00\)"/>
    <numFmt numFmtId="166" formatCode="m/d/yy;@"/>
    <numFmt numFmtId="167" formatCode="&quot;$&quot;#,##0.00"/>
    <numFmt numFmtId="168" formatCode="0.0%"/>
    <numFmt numFmtId="169" formatCode="0.00_);[Red]\(0.00\)"/>
    <numFmt numFmtId="170" formatCode="&quot;$&quot;#,##0.0"/>
    <numFmt numFmtId="171" formatCode="#,##0.0_);[Red]\(#,##0.0\)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10E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57"/>
      <name val="Calibri"/>
      <family val="2"/>
    </font>
    <font>
      <sz val="11"/>
      <color indexed="53"/>
      <name val="Calibri"/>
      <family val="2"/>
    </font>
    <font>
      <sz val="11"/>
      <color rgb="FF0070C0"/>
      <name val="Calibri"/>
      <family val="2"/>
    </font>
    <font>
      <sz val="11"/>
      <color rgb="FF102A42"/>
      <name val="Trebuchet MS"/>
      <family val="2"/>
    </font>
    <font>
      <sz val="11"/>
      <color indexed="48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1F10E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67" fontId="0" fillId="0" borderId="0" xfId="0" applyNumberFormat="1"/>
    <xf numFmtId="165" fontId="0" fillId="0" borderId="0" xfId="0" applyNumberFormat="1"/>
    <xf numFmtId="17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2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2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0" fontId="3" fillId="6" borderId="1" xfId="0" applyFont="1" applyFill="1" applyBorder="1" applyAlignment="1">
      <alignment horizontal="center"/>
    </xf>
    <xf numFmtId="167" fontId="3" fillId="6" borderId="1" xfId="0" applyNumberFormat="1" applyFont="1" applyFill="1" applyBorder="1" applyAlignment="1">
      <alignment horizontal="left"/>
    </xf>
    <xf numFmtId="165" fontId="0" fillId="6" borderId="1" xfId="0" applyNumberFormat="1" applyFont="1" applyFill="1" applyBorder="1"/>
    <xf numFmtId="167" fontId="8" fillId="6" borderId="1" xfId="0" applyNumberFormat="1" applyFont="1" applyFill="1" applyBorder="1" applyAlignment="1">
      <alignment horizontal="left"/>
    </xf>
    <xf numFmtId="166" fontId="0" fillId="6" borderId="18" xfId="0" applyNumberFormat="1" applyFill="1" applyBorder="1" applyAlignment="1">
      <alignment horizontal="right"/>
    </xf>
    <xf numFmtId="165" fontId="0" fillId="6" borderId="18" xfId="0" applyNumberFormat="1" applyFill="1" applyBorder="1"/>
    <xf numFmtId="0" fontId="2" fillId="3" borderId="19" xfId="0" applyFont="1" applyFill="1" applyBorder="1"/>
    <xf numFmtId="0" fontId="2" fillId="3" borderId="20" xfId="0" applyFont="1" applyFill="1" applyBorder="1" applyAlignment="1">
      <alignment horizontal="center"/>
    </xf>
    <xf numFmtId="0" fontId="0" fillId="3" borderId="20" xfId="0" applyFill="1" applyBorder="1"/>
    <xf numFmtId="2" fontId="2" fillId="3" borderId="20" xfId="0" applyNumberFormat="1" applyFont="1" applyFill="1" applyBorder="1" applyAlignment="1">
      <alignment horizontal="center"/>
    </xf>
    <xf numFmtId="167" fontId="0" fillId="3" borderId="21" xfId="0" applyNumberFormat="1" applyFill="1" applyBorder="1"/>
    <xf numFmtId="0" fontId="2" fillId="3" borderId="25" xfId="0" applyFont="1" applyFill="1" applyBorder="1"/>
    <xf numFmtId="0" fontId="2" fillId="3" borderId="26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2" fillId="3" borderId="26" xfId="0" applyFont="1" applyFill="1" applyBorder="1"/>
    <xf numFmtId="2" fontId="2" fillId="3" borderId="26" xfId="0" applyNumberFormat="1" applyFont="1" applyFill="1" applyBorder="1" applyAlignment="1">
      <alignment horizontal="center"/>
    </xf>
    <xf numFmtId="167" fontId="0" fillId="3" borderId="27" xfId="0" applyNumberFormat="1" applyFill="1" applyBorder="1"/>
    <xf numFmtId="0" fontId="11" fillId="6" borderId="16" xfId="0" applyFont="1" applyFill="1" applyBorder="1" applyAlignment="1">
      <alignment horizontal="center"/>
    </xf>
    <xf numFmtId="10" fontId="12" fillId="6" borderId="5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65" fontId="3" fillId="2" borderId="1" xfId="0" applyNumberFormat="1" applyFont="1" applyFill="1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3" fillId="6" borderId="1" xfId="0" applyFont="1" applyFill="1" applyBorder="1"/>
    <xf numFmtId="165" fontId="3" fillId="6" borderId="1" xfId="0" applyNumberFormat="1" applyFont="1" applyFill="1" applyBorder="1"/>
    <xf numFmtId="0" fontId="0" fillId="6" borderId="1" xfId="0" applyFill="1" applyBorder="1"/>
    <xf numFmtId="1" fontId="0" fillId="6" borderId="0" xfId="0" applyNumberFormat="1" applyFill="1" applyBorder="1"/>
    <xf numFmtId="0" fontId="0" fillId="6" borderId="0" xfId="0" applyFill="1" applyBorder="1"/>
    <xf numFmtId="3" fontId="0" fillId="6" borderId="0" xfId="0" applyNumberFormat="1" applyFill="1" applyBorder="1"/>
    <xf numFmtId="165" fontId="0" fillId="6" borderId="0" xfId="0" applyNumberFormat="1" applyFill="1" applyBorder="1"/>
    <xf numFmtId="0" fontId="0" fillId="6" borderId="10" xfId="0" applyFill="1" applyBorder="1"/>
    <xf numFmtId="167" fontId="3" fillId="6" borderId="1" xfId="0" applyNumberFormat="1" applyFont="1" applyFill="1" applyBorder="1"/>
    <xf numFmtId="0" fontId="2" fillId="6" borderId="17" xfId="0" applyFont="1" applyFill="1" applyBorder="1"/>
    <xf numFmtId="0" fontId="0" fillId="6" borderId="18" xfId="0" applyFill="1" applyBorder="1" applyAlignment="1">
      <alignment horizontal="center"/>
    </xf>
    <xf numFmtId="0" fontId="0" fillId="6" borderId="18" xfId="0" applyFill="1" applyBorder="1"/>
    <xf numFmtId="167" fontId="3" fillId="6" borderId="18" xfId="0" applyNumberFormat="1" applyFont="1" applyFill="1" applyBorder="1"/>
    <xf numFmtId="1" fontId="0" fillId="6" borderId="13" xfId="0" applyNumberFormat="1" applyFill="1" applyBorder="1"/>
    <xf numFmtId="1" fontId="0" fillId="6" borderId="11" xfId="0" applyNumberFormat="1" applyFill="1" applyBorder="1"/>
    <xf numFmtId="0" fontId="0" fillId="6" borderId="11" xfId="0" applyFill="1" applyBorder="1"/>
    <xf numFmtId="165" fontId="0" fillId="6" borderId="11" xfId="0" applyNumberFormat="1" applyFill="1" applyBorder="1"/>
    <xf numFmtId="0" fontId="0" fillId="6" borderId="31" xfId="0" applyFill="1" applyBorder="1"/>
    <xf numFmtId="1" fontId="0" fillId="6" borderId="11" xfId="0" applyNumberFormat="1" applyFill="1" applyBorder="1" applyAlignment="1">
      <alignment horizontal="right"/>
    </xf>
    <xf numFmtId="1" fontId="0" fillId="2" borderId="0" xfId="0" applyNumberFormat="1" applyFill="1" applyBorder="1"/>
    <xf numFmtId="0" fontId="0" fillId="6" borderId="4" xfId="0" applyFill="1" applyBorder="1"/>
    <xf numFmtId="167" fontId="0" fillId="6" borderId="5" xfId="0" applyNumberFormat="1" applyFill="1" applyBorder="1"/>
    <xf numFmtId="2" fontId="0" fillId="6" borderId="5" xfId="0" applyNumberFormat="1" applyFill="1" applyBorder="1"/>
    <xf numFmtId="167" fontId="3" fillId="6" borderId="11" xfId="0" applyNumberFormat="1" applyFont="1" applyFill="1" applyBorder="1"/>
    <xf numFmtId="0" fontId="2" fillId="6" borderId="13" xfId="0" applyFont="1" applyFill="1" applyBorder="1"/>
    <xf numFmtId="0" fontId="0" fillId="6" borderId="11" xfId="0" applyFill="1" applyBorder="1" applyAlignment="1">
      <alignment horizontal="center"/>
    </xf>
    <xf numFmtId="1" fontId="1" fillId="6" borderId="0" xfId="0" applyNumberFormat="1" applyFont="1" applyFill="1" applyBorder="1"/>
    <xf numFmtId="167" fontId="5" fillId="6" borderId="0" xfId="0" applyNumberFormat="1" applyFont="1" applyFill="1" applyBorder="1"/>
    <xf numFmtId="1" fontId="5" fillId="6" borderId="0" xfId="0" applyNumberFormat="1" applyFont="1" applyFill="1" applyBorder="1"/>
    <xf numFmtId="1" fontId="1" fillId="6" borderId="12" xfId="0" applyNumberFormat="1" applyFont="1" applyFill="1" applyBorder="1"/>
    <xf numFmtId="167" fontId="5" fillId="6" borderId="12" xfId="0" applyNumberFormat="1" applyFont="1" applyFill="1" applyBorder="1"/>
    <xf numFmtId="164" fontId="0" fillId="6" borderId="0" xfId="0" applyNumberFormat="1" applyFill="1" applyBorder="1"/>
    <xf numFmtId="0" fontId="11" fillId="6" borderId="1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8" fontId="0" fillId="6" borderId="5" xfId="0" applyNumberFormat="1" applyFill="1" applyBorder="1"/>
    <xf numFmtId="1" fontId="2" fillId="6" borderId="11" xfId="0" applyNumberFormat="1" applyFont="1" applyFill="1" applyBorder="1"/>
    <xf numFmtId="165" fontId="0" fillId="6" borderId="0" xfId="0" applyNumberFormat="1" applyFill="1" applyBorder="1" applyAlignment="1">
      <alignment horizontal="left"/>
    </xf>
    <xf numFmtId="0" fontId="2" fillId="5" borderId="14" xfId="0" applyFont="1" applyFill="1" applyBorder="1"/>
    <xf numFmtId="0" fontId="9" fillId="5" borderId="14" xfId="0" applyFont="1" applyFill="1" applyBorder="1"/>
    <xf numFmtId="0" fontId="13" fillId="6" borderId="16" xfId="0" applyFont="1" applyFill="1" applyBorder="1" applyAlignment="1">
      <alignment horizontal="center"/>
    </xf>
    <xf numFmtId="167" fontId="0" fillId="6" borderId="5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7" fontId="1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/>
    <xf numFmtId="0" fontId="14" fillId="2" borderId="1" xfId="0" quotePrefix="1" applyFont="1" applyFill="1" applyBorder="1"/>
    <xf numFmtId="1" fontId="0" fillId="6" borderId="0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6" fontId="2" fillId="6" borderId="11" xfId="0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right"/>
    </xf>
    <xf numFmtId="165" fontId="0" fillId="4" borderId="6" xfId="0" applyNumberFormat="1" applyFill="1" applyBorder="1"/>
    <xf numFmtId="167" fontId="3" fillId="4" borderId="6" xfId="0" applyNumberFormat="1" applyFont="1" applyFill="1" applyBorder="1"/>
    <xf numFmtId="0" fontId="7" fillId="4" borderId="6" xfId="0" applyFont="1" applyFill="1" applyBorder="1"/>
    <xf numFmtId="1" fontId="0" fillId="6" borderId="3" xfId="0" applyNumberFormat="1" applyFill="1" applyBorder="1"/>
    <xf numFmtId="1" fontId="0" fillId="6" borderId="34" xfId="0" applyNumberFormat="1" applyFill="1" applyBorder="1"/>
    <xf numFmtId="1" fontId="0" fillId="6" borderId="33" xfId="0" applyNumberFormat="1" applyFill="1" applyBorder="1"/>
    <xf numFmtId="1" fontId="2" fillId="6" borderId="3" xfId="0" applyNumberFormat="1" applyFont="1" applyFill="1" applyBorder="1"/>
    <xf numFmtId="1" fontId="2" fillId="6" borderId="34" xfId="0" applyNumberFormat="1" applyFont="1" applyFill="1" applyBorder="1"/>
    <xf numFmtId="1" fontId="2" fillId="6" borderId="33" xfId="0" applyNumberFormat="1" applyFont="1" applyFill="1" applyBorder="1"/>
    <xf numFmtId="1" fontId="2" fillId="7" borderId="3" xfId="0" applyNumberFormat="1" applyFont="1" applyFill="1" applyBorder="1"/>
    <xf numFmtId="1" fontId="2" fillId="7" borderId="34" xfId="0" applyNumberFormat="1" applyFont="1" applyFill="1" applyBorder="1"/>
    <xf numFmtId="1" fontId="2" fillId="9" borderId="33" xfId="0" applyNumberFormat="1" applyFont="1" applyFill="1" applyBorder="1"/>
    <xf numFmtId="1" fontId="0" fillId="7" borderId="3" xfId="0" applyNumberFormat="1" applyFill="1" applyBorder="1"/>
    <xf numFmtId="1" fontId="0" fillId="7" borderId="34" xfId="0" applyNumberFormat="1" applyFont="1" applyFill="1" applyBorder="1"/>
    <xf numFmtId="1" fontId="0" fillId="8" borderId="33" xfId="0" applyNumberFormat="1" applyFill="1" applyBorder="1"/>
    <xf numFmtId="1" fontId="0" fillId="2" borderId="0" xfId="0" applyNumberFormat="1" applyFont="1" applyFill="1" applyBorder="1"/>
    <xf numFmtId="164" fontId="0" fillId="0" borderId="35" xfId="0" applyNumberFormat="1" applyBorder="1"/>
    <xf numFmtId="9" fontId="6" fillId="6" borderId="11" xfId="0" applyNumberFormat="1" applyFont="1" applyFill="1" applyBorder="1" applyAlignment="1">
      <alignment horizontal="right"/>
    </xf>
    <xf numFmtId="164" fontId="6" fillId="6" borderId="11" xfId="0" applyNumberFormat="1" applyFont="1" applyFill="1" applyBorder="1" applyAlignment="1">
      <alignment horizontal="right"/>
    </xf>
    <xf numFmtId="164" fontId="6" fillId="6" borderId="0" xfId="0" applyNumberFormat="1" applyFont="1" applyFill="1" applyBorder="1" applyAlignment="1">
      <alignment horizontal="right"/>
    </xf>
    <xf numFmtId="0" fontId="0" fillId="4" borderId="32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165" fontId="0" fillId="4" borderId="2" xfId="0" applyNumberFormat="1" applyFill="1" applyBorder="1"/>
    <xf numFmtId="167" fontId="3" fillId="4" borderId="2" xfId="0" applyNumberFormat="1" applyFont="1" applyFill="1" applyBorder="1"/>
    <xf numFmtId="0" fontId="0" fillId="0" borderId="36" xfId="0" applyBorder="1"/>
    <xf numFmtId="167" fontId="0" fillId="0" borderId="36" xfId="0" applyNumberFormat="1" applyBorder="1"/>
    <xf numFmtId="167" fontId="0" fillId="6" borderId="7" xfId="0" applyNumberFormat="1" applyFill="1" applyBorder="1"/>
    <xf numFmtId="165" fontId="0" fillId="6" borderId="36" xfId="0" applyNumberFormat="1" applyFont="1" applyFill="1" applyBorder="1"/>
    <xf numFmtId="165" fontId="0" fillId="6" borderId="36" xfId="0" applyNumberFormat="1" applyFill="1" applyBorder="1"/>
    <xf numFmtId="165" fontId="0" fillId="6" borderId="37" xfId="0" applyNumberFormat="1" applyFill="1" applyBorder="1"/>
    <xf numFmtId="165" fontId="0" fillId="6" borderId="15" xfId="0" applyNumberFormat="1" applyFill="1" applyBorder="1"/>
    <xf numFmtId="164" fontId="0" fillId="6" borderId="7" xfId="0" applyNumberFormat="1" applyFill="1" applyBorder="1"/>
    <xf numFmtId="164" fontId="0" fillId="6" borderId="36" xfId="0" applyNumberFormat="1" applyFill="1" applyBorder="1"/>
    <xf numFmtId="164" fontId="0" fillId="6" borderId="37" xfId="0" applyNumberFormat="1" applyFill="1" applyBorder="1"/>
    <xf numFmtId="164" fontId="0" fillId="6" borderId="15" xfId="0" applyNumberFormat="1" applyFill="1" applyBorder="1"/>
    <xf numFmtId="0" fontId="2" fillId="3" borderId="3" xfId="0" applyFont="1" applyFill="1" applyBorder="1" applyAlignment="1">
      <alignment horizontal="center"/>
    </xf>
    <xf numFmtId="0" fontId="19" fillId="4" borderId="6" xfId="1" applyFill="1" applyBorder="1" applyAlignment="1">
      <alignment horizontal="right"/>
    </xf>
    <xf numFmtId="0" fontId="9" fillId="6" borderId="14" xfId="0" applyFont="1" applyFill="1" applyBorder="1"/>
    <xf numFmtId="1" fontId="20" fillId="10" borderId="5" xfId="0" applyNumberFormat="1" applyFont="1" applyFill="1" applyBorder="1"/>
    <xf numFmtId="165" fontId="0" fillId="6" borderId="0" xfId="0" applyNumberFormat="1" applyFont="1" applyFill="1" applyBorder="1"/>
    <xf numFmtId="165" fontId="0" fillId="6" borderId="38" xfId="0" applyNumberFormat="1" applyFill="1" applyBorder="1"/>
    <xf numFmtId="166" fontId="0" fillId="6" borderId="11" xfId="0" applyNumberFormat="1" applyFill="1" applyBorder="1" applyAlignment="1">
      <alignment horizontal="right"/>
    </xf>
    <xf numFmtId="9" fontId="12" fillId="6" borderId="11" xfId="0" applyNumberFormat="1" applyFont="1" applyFill="1" applyBorder="1"/>
    <xf numFmtId="164" fontId="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6" borderId="39" xfId="0" applyFill="1" applyBorder="1"/>
    <xf numFmtId="164" fontId="0" fillId="6" borderId="18" xfId="0" applyNumberFormat="1" applyFill="1" applyBorder="1" applyAlignment="1">
      <alignment horizontal="center"/>
    </xf>
    <xf numFmtId="164" fontId="0" fillId="2" borderId="18" xfId="0" applyNumberFormat="1" applyFill="1" applyBorder="1"/>
    <xf numFmtId="164" fontId="0" fillId="6" borderId="18" xfId="0" applyNumberFormat="1" applyFill="1" applyBorder="1"/>
    <xf numFmtId="0" fontId="0" fillId="6" borderId="40" xfId="0" applyFill="1" applyBorder="1"/>
    <xf numFmtId="0" fontId="0" fillId="6" borderId="40" xfId="0" applyFont="1" applyFill="1" applyBorder="1" applyAlignment="1">
      <alignment horizontal="center"/>
    </xf>
    <xf numFmtId="165" fontId="3" fillId="6" borderId="40" xfId="0" applyNumberFormat="1" applyFont="1" applyFill="1" applyBorder="1"/>
    <xf numFmtId="17" fontId="3" fillId="2" borderId="17" xfId="0" applyNumberFormat="1" applyFont="1" applyFill="1" applyBorder="1" applyAlignment="1">
      <alignment horizontal="center"/>
    </xf>
    <xf numFmtId="9" fontId="0" fillId="6" borderId="41" xfId="0" applyNumberFormat="1" applyFill="1" applyBorder="1"/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164" fontId="0" fillId="6" borderId="1" xfId="0" applyNumberFormat="1" applyFill="1" applyBorder="1"/>
    <xf numFmtId="0" fontId="0" fillId="6" borderId="42" xfId="0" applyFill="1" applyBorder="1"/>
    <xf numFmtId="0" fontId="0" fillId="6" borderId="42" xfId="0" applyFont="1" applyFill="1" applyBorder="1" applyAlignment="1">
      <alignment horizontal="center"/>
    </xf>
    <xf numFmtId="165" fontId="3" fillId="6" borderId="42" xfId="0" applyNumberFormat="1" applyFont="1" applyFill="1" applyBorder="1"/>
    <xf numFmtId="17" fontId="3" fillId="2" borderId="9" xfId="0" applyNumberFormat="1" applyFont="1" applyFill="1" applyBorder="1" applyAlignment="1">
      <alignment horizontal="center"/>
    </xf>
    <xf numFmtId="9" fontId="0" fillId="6" borderId="43" xfId="0" applyNumberFormat="1" applyFill="1" applyBorder="1"/>
    <xf numFmtId="165" fontId="3" fillId="6" borderId="44" xfId="0" applyNumberFormat="1" applyFont="1" applyFill="1" applyBorder="1"/>
    <xf numFmtId="9" fontId="0" fillId="6" borderId="45" xfId="0" applyNumberFormat="1" applyFill="1" applyBorder="1"/>
    <xf numFmtId="164" fontId="0" fillId="6" borderId="2" xfId="0" applyNumberFormat="1" applyFill="1" applyBorder="1" applyAlignment="1">
      <alignment horizontal="center"/>
    </xf>
    <xf numFmtId="164" fontId="0" fillId="2" borderId="2" xfId="0" applyNumberFormat="1" applyFill="1" applyBorder="1"/>
    <xf numFmtId="164" fontId="0" fillId="6" borderId="2" xfId="0" applyNumberFormat="1" applyFill="1" applyBorder="1"/>
    <xf numFmtId="0" fontId="0" fillId="6" borderId="46" xfId="0" applyFill="1" applyBorder="1"/>
    <xf numFmtId="0" fontId="0" fillId="6" borderId="46" xfId="0" applyFont="1" applyFill="1" applyBorder="1" applyAlignment="1">
      <alignment horizontal="center"/>
    </xf>
    <xf numFmtId="165" fontId="3" fillId="6" borderId="46" xfId="0" applyNumberFormat="1" applyFont="1" applyFill="1" applyBorder="1"/>
    <xf numFmtId="17" fontId="3" fillId="2" borderId="47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9" fontId="2" fillId="3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6" fontId="2" fillId="3" borderId="48" xfId="0" applyNumberFormat="1" applyFont="1" applyFill="1" applyBorder="1" applyAlignment="1">
      <alignment horizontal="center"/>
    </xf>
    <xf numFmtId="166" fontId="2" fillId="3" borderId="48" xfId="0" applyNumberFormat="1" applyFont="1" applyFill="1" applyBorder="1" applyAlignment="1">
      <alignment horizontal="right"/>
    </xf>
    <xf numFmtId="1" fontId="2" fillId="3" borderId="0" xfId="0" applyNumberFormat="1" applyFont="1" applyFill="1" applyBorder="1"/>
    <xf numFmtId="1" fontId="0" fillId="3" borderId="0" xfId="0" applyNumberFormat="1" applyFill="1" applyBorder="1" applyAlignment="1">
      <alignment horizontal="right"/>
    </xf>
    <xf numFmtId="1" fontId="0" fillId="3" borderId="0" xfId="0" applyNumberFormat="1" applyFill="1" applyBorder="1"/>
    <xf numFmtId="166" fontId="0" fillId="3" borderId="0" xfId="0" applyNumberFormat="1" applyFill="1" applyBorder="1" applyAlignment="1">
      <alignment horizontal="righ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9" fontId="22" fillId="6" borderId="11" xfId="0" applyNumberFormat="1" applyFont="1" applyFill="1" applyBorder="1"/>
    <xf numFmtId="164" fontId="0" fillId="6" borderId="31" xfId="0" applyNumberFormat="1" applyFill="1" applyBorder="1"/>
    <xf numFmtId="167" fontId="3" fillId="6" borderId="18" xfId="0" applyNumberFormat="1" applyFont="1" applyFill="1" applyBorder="1" applyAlignment="1">
      <alignment horizontal="center"/>
    </xf>
    <xf numFmtId="169" fontId="0" fillId="6" borderId="18" xfId="0" applyNumberFormat="1" applyFill="1" applyBorder="1" applyAlignment="1">
      <alignment horizontal="right"/>
    </xf>
    <xf numFmtId="164" fontId="0" fillId="6" borderId="43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" fontId="2" fillId="5" borderId="1" xfId="0" applyNumberFormat="1" applyFont="1" applyFill="1" applyBorder="1"/>
    <xf numFmtId="1" fontId="0" fillId="6" borderId="1" xfId="0" applyNumberFormat="1" applyFont="1" applyFill="1" applyBorder="1"/>
    <xf numFmtId="1" fontId="1" fillId="6" borderId="50" xfId="0" applyNumberFormat="1" applyFont="1" applyFill="1" applyBorder="1"/>
    <xf numFmtId="1" fontId="1" fillId="6" borderId="51" xfId="0" applyNumberFormat="1" applyFont="1" applyFill="1" applyBorder="1"/>
    <xf numFmtId="167" fontId="3" fillId="6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/>
    <xf numFmtId="17" fontId="0" fillId="2" borderId="1" xfId="0" applyNumberFormat="1" applyFont="1" applyFill="1" applyBorder="1" applyAlignment="1">
      <alignment horizontal="center"/>
    </xf>
    <xf numFmtId="170" fontId="5" fillId="2" borderId="1" xfId="0" applyNumberFormat="1" applyFont="1" applyFill="1" applyBorder="1" applyAlignment="1">
      <alignment horizontal="center"/>
    </xf>
    <xf numFmtId="0" fontId="0" fillId="6" borderId="1" xfId="0" applyFont="1" applyFill="1" applyBorder="1"/>
    <xf numFmtId="170" fontId="3" fillId="6" borderId="1" xfId="0" applyNumberFormat="1" applyFont="1" applyFill="1" applyBorder="1"/>
    <xf numFmtId="0" fontId="1" fillId="6" borderId="9" xfId="0" applyFont="1" applyFill="1" applyBorder="1" applyAlignment="1">
      <alignment horizontal="center"/>
    </xf>
    <xf numFmtId="171" fontId="0" fillId="6" borderId="0" xfId="0" applyNumberFormat="1" applyFill="1" applyBorder="1"/>
    <xf numFmtId="0" fontId="0" fillId="6" borderId="0" xfId="0" applyFill="1"/>
    <xf numFmtId="0" fontId="3" fillId="6" borderId="50" xfId="0" applyFont="1" applyFill="1" applyBorder="1"/>
    <xf numFmtId="167" fontId="5" fillId="6" borderId="51" xfId="0" applyNumberFormat="1" applyFont="1" applyFill="1" applyBorder="1"/>
    <xf numFmtId="167" fontId="3" fillId="6" borderId="33" xfId="0" applyNumberFormat="1" applyFont="1" applyFill="1" applyBorder="1" applyAlignment="1">
      <alignment horizontal="center"/>
    </xf>
    <xf numFmtId="0" fontId="0" fillId="6" borderId="33" xfId="0" applyFont="1" applyFill="1" applyBorder="1"/>
    <xf numFmtId="165" fontId="0" fillId="6" borderId="33" xfId="0" applyNumberFormat="1" applyFont="1" applyFill="1" applyBorder="1"/>
    <xf numFmtId="170" fontId="5" fillId="6" borderId="33" xfId="0" applyNumberFormat="1" applyFont="1" applyFill="1" applyBorder="1" applyAlignment="1">
      <alignment horizontal="right"/>
    </xf>
    <xf numFmtId="170" fontId="3" fillId="2" borderId="1" xfId="0" quotePrefix="1" applyNumberFormat="1" applyFont="1" applyFill="1" applyBorder="1"/>
    <xf numFmtId="170" fontId="0" fillId="6" borderId="1" xfId="0" applyNumberFormat="1" applyFill="1" applyBorder="1"/>
    <xf numFmtId="167" fontId="5" fillId="6" borderId="50" xfId="0" applyNumberFormat="1" applyFont="1" applyFill="1" applyBorder="1"/>
    <xf numFmtId="165" fontId="0" fillId="6" borderId="1" xfId="0" applyNumberFormat="1" applyFont="1" applyFill="1" applyBorder="1" applyAlignment="1">
      <alignment horizontal="center"/>
    </xf>
    <xf numFmtId="164" fontId="0" fillId="6" borderId="8" xfId="0" applyNumberFormat="1" applyFill="1" applyBorder="1"/>
    <xf numFmtId="0" fontId="7" fillId="6" borderId="4" xfId="0" applyFont="1" applyFill="1" applyBorder="1"/>
    <xf numFmtId="167" fontId="8" fillId="11" borderId="52" xfId="0" applyNumberFormat="1" applyFont="1" applyFill="1" applyBorder="1" applyAlignment="1">
      <alignment horizontal="center"/>
    </xf>
    <xf numFmtId="0" fontId="6" fillId="11" borderId="2" xfId="0" applyFont="1" applyFill="1" applyBorder="1"/>
    <xf numFmtId="165" fontId="2" fillId="11" borderId="2" xfId="0" applyNumberFormat="1" applyFont="1" applyFill="1" applyBorder="1"/>
    <xf numFmtId="0" fontId="2" fillId="11" borderId="2" xfId="0" applyFont="1" applyFill="1" applyBorder="1" applyAlignment="1">
      <alignment horizontal="right"/>
    </xf>
    <xf numFmtId="0" fontId="2" fillId="11" borderId="2" xfId="0" applyFont="1" applyFill="1" applyBorder="1"/>
    <xf numFmtId="0" fontId="0" fillId="6" borderId="32" xfId="0" applyFill="1" applyBorder="1" applyAlignment="1">
      <alignment horizontal="center"/>
    </xf>
    <xf numFmtId="9" fontId="6" fillId="6" borderId="11" xfId="0" applyNumberFormat="1" applyFont="1" applyFill="1" applyBorder="1"/>
    <xf numFmtId="164" fontId="2" fillId="6" borderId="8" xfId="0" applyNumberFormat="1" applyFont="1" applyFill="1" applyBorder="1"/>
    <xf numFmtId="0" fontId="0" fillId="11" borderId="2" xfId="0" applyFill="1" applyBorder="1"/>
    <xf numFmtId="0" fontId="1" fillId="6" borderId="4" xfId="0" applyFont="1" applyFill="1" applyBorder="1"/>
    <xf numFmtId="167" fontId="8" fillId="11" borderId="2" xfId="0" applyNumberFormat="1" applyFont="1" applyFill="1" applyBorder="1" applyAlignment="1">
      <alignment horizontal="center"/>
    </xf>
    <xf numFmtId="0" fontId="4" fillId="11" borderId="2" xfId="0" applyFont="1" applyFill="1" applyBorder="1"/>
    <xf numFmtId="164" fontId="0" fillId="6" borderId="6" xfId="0" applyNumberFormat="1" applyFill="1" applyBorder="1"/>
    <xf numFmtId="1" fontId="2" fillId="7" borderId="1" xfId="0" applyNumberFormat="1" applyFont="1" applyFill="1" applyBorder="1"/>
    <xf numFmtId="1" fontId="2" fillId="6" borderId="1" xfId="0" applyNumberFormat="1" applyFont="1" applyFill="1" applyBorder="1"/>
    <xf numFmtId="1" fontId="2" fillId="9" borderId="1" xfId="0" applyNumberFormat="1" applyFont="1" applyFill="1" applyBorder="1"/>
    <xf numFmtId="0" fontId="0" fillId="6" borderId="44" xfId="0" applyFont="1" applyFill="1" applyBorder="1" applyAlignment="1">
      <alignment horizontal="center"/>
    </xf>
    <xf numFmtId="0" fontId="0" fillId="6" borderId="44" xfId="0" applyFill="1" applyBorder="1"/>
    <xf numFmtId="167" fontId="3" fillId="6" borderId="53" xfId="0" applyNumberFormat="1" applyFont="1" applyFill="1" applyBorder="1" applyAlignment="1">
      <alignment horizontal="center"/>
    </xf>
    <xf numFmtId="164" fontId="0" fillId="6" borderId="54" xfId="0" applyNumberFormat="1" applyFill="1" applyBorder="1"/>
    <xf numFmtId="3" fontId="0" fillId="6" borderId="42" xfId="0" applyNumberFormat="1" applyFill="1" applyBorder="1"/>
    <xf numFmtId="1" fontId="0" fillId="6" borderId="42" xfId="0" applyNumberFormat="1" applyFont="1" applyFill="1" applyBorder="1"/>
    <xf numFmtId="167" fontId="3" fillId="6" borderId="55" xfId="0" applyNumberFormat="1" applyFont="1" applyFill="1" applyBorder="1" applyAlignment="1">
      <alignment horizontal="center"/>
    </xf>
    <xf numFmtId="167" fontId="3" fillId="6" borderId="56" xfId="0" applyNumberFormat="1" applyFont="1" applyFill="1" applyBorder="1" applyAlignment="1">
      <alignment horizontal="center"/>
    </xf>
    <xf numFmtId="165" fontId="0" fillId="6" borderId="55" xfId="0" applyNumberFormat="1" applyFont="1" applyFill="1" applyBorder="1" applyAlignment="1">
      <alignment horizontal="center"/>
    </xf>
    <xf numFmtId="0" fontId="0" fillId="6" borderId="57" xfId="0" applyFill="1" applyBorder="1"/>
    <xf numFmtId="0" fontId="2" fillId="3" borderId="22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17" fillId="3" borderId="23" xfId="0" applyFont="1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6" borderId="5" xfId="0" applyFill="1" applyBorder="1" applyAlignment="1">
      <alignment horizontal="left" indent="1"/>
    </xf>
    <xf numFmtId="0" fontId="0" fillId="0" borderId="8" xfId="0" applyBorder="1" applyAlignment="1"/>
    <xf numFmtId="1" fontId="0" fillId="3" borderId="22" xfId="0" applyNumberFormat="1" applyFont="1" applyFill="1" applyBorder="1" applyAlignment="1">
      <alignment horizontal="center" wrapText="1"/>
    </xf>
    <xf numFmtId="1" fontId="0" fillId="3" borderId="28" xfId="0" applyNumberFormat="1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 vertical="top" wrapText="1"/>
    </xf>
    <xf numFmtId="0" fontId="17" fillId="3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164" fontId="2" fillId="0" borderId="58" xfId="0" applyNumberFormat="1" applyFont="1" applyBorder="1" applyAlignment="1">
      <alignment horizontal="center" wrapText="1"/>
    </xf>
    <xf numFmtId="0" fontId="0" fillId="0" borderId="58" xfId="0" applyBorder="1" applyAlignment="1"/>
    <xf numFmtId="0" fontId="2" fillId="3" borderId="62" xfId="0" applyFont="1" applyFill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167" fontId="2" fillId="3" borderId="23" xfId="0" applyNumberFormat="1" applyFont="1" applyFill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28" xfId="0" applyFont="1" applyBorder="1" applyAlignment="1">
      <alignment wrapText="1"/>
    </xf>
    <xf numFmtId="1" fontId="2" fillId="3" borderId="22" xfId="0" applyNumberFormat="1" applyFont="1" applyFill="1" applyBorder="1" applyAlignment="1">
      <alignment horizontal="center" wrapText="1"/>
    </xf>
    <xf numFmtId="1" fontId="2" fillId="3" borderId="28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25" fillId="3" borderId="22" xfId="0" applyFont="1" applyFill="1" applyBorder="1" applyAlignment="1">
      <alignment horizontal="center" wrapText="1"/>
    </xf>
    <xf numFmtId="2" fontId="2" fillId="3" borderId="22" xfId="0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1" fillId="3" borderId="48" xfId="0" applyFont="1" applyFill="1" applyBorder="1" applyAlignment="1"/>
    <xf numFmtId="0" fontId="21" fillId="0" borderId="48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  <color rgb="FF1F10E2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ock@" TargetMode="External"/><Relationship Id="rId2" Type="http://schemas.openxmlformats.org/officeDocument/2006/relationships/hyperlink" Target="mailto:Stock@" TargetMode="Externa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zoomScale="90" zoomScaleNormal="90" zoomScalePageLayoutView="90" workbookViewId="0">
      <pane ySplit="2" topLeftCell="A18" activePane="bottomLeft" state="frozen"/>
      <selection pane="bottomLeft" activeCell="W25" sqref="W25:AA30"/>
    </sheetView>
  </sheetViews>
  <sheetFormatPr baseColWidth="10" defaultColWidth="8.83203125" defaultRowHeight="15" x14ac:dyDescent="0.2"/>
  <cols>
    <col min="1" max="1" width="4.5" style="2" customWidth="1"/>
    <col min="2" max="2" width="9.33203125" customWidth="1"/>
    <col min="3" max="3" width="10.6640625" style="2" customWidth="1"/>
    <col min="4" max="4" width="9" customWidth="1"/>
    <col min="5" max="5" width="7.5" customWidth="1"/>
    <col min="6" max="6" width="9.5" customWidth="1"/>
    <col min="7" max="7" width="8.5" customWidth="1"/>
    <col min="8" max="8" width="11" customWidth="1"/>
    <col min="9" max="9" width="11.1640625" customWidth="1"/>
    <col min="10" max="10" width="7.5" customWidth="1"/>
    <col min="12" max="12" width="4.6640625" customWidth="1"/>
    <col min="13" max="13" width="7.1640625" customWidth="1"/>
    <col min="14" max="14" width="8.33203125" style="15" customWidth="1"/>
    <col min="15" max="15" width="8.83203125" style="4"/>
    <col min="16" max="16" width="8.5" style="3" customWidth="1"/>
    <col min="17" max="17" width="11.83203125" style="128" customWidth="1"/>
    <col min="18" max="18" width="10.83203125" customWidth="1"/>
    <col min="20" max="20" width="12.5" customWidth="1"/>
    <col min="21" max="21" width="13" style="40" customWidth="1"/>
    <col min="22" max="22" width="2.5" customWidth="1"/>
    <col min="23" max="23" width="9.83203125" bestFit="1" customWidth="1"/>
    <col min="24" max="24" width="10.5" customWidth="1"/>
    <col min="27" max="27" width="6.33203125" customWidth="1"/>
  </cols>
  <sheetData>
    <row r="1" spans="1:35" ht="30" customHeight="1" thickTop="1" x14ac:dyDescent="0.2">
      <c r="B1" s="23" t="s">
        <v>8</v>
      </c>
      <c r="C1" s="24" t="s">
        <v>5</v>
      </c>
      <c r="D1" s="138" t="s">
        <v>18</v>
      </c>
      <c r="E1" s="25"/>
      <c r="F1" s="138" t="s">
        <v>19</v>
      </c>
      <c r="G1" s="25"/>
      <c r="H1" s="25"/>
      <c r="I1" s="25"/>
      <c r="J1" s="26" t="s">
        <v>2</v>
      </c>
      <c r="K1" s="27"/>
      <c r="L1" s="27"/>
      <c r="M1" s="259" t="s">
        <v>50</v>
      </c>
      <c r="N1" s="254" t="s">
        <v>51</v>
      </c>
      <c r="O1" s="254" t="s">
        <v>72</v>
      </c>
      <c r="P1" s="261" t="s">
        <v>33</v>
      </c>
      <c r="Q1" s="248" t="s">
        <v>53</v>
      </c>
      <c r="R1" s="249"/>
      <c r="S1" s="249"/>
      <c r="T1" s="250"/>
      <c r="U1" s="146" t="s">
        <v>13</v>
      </c>
      <c r="W1" t="s">
        <v>52</v>
      </c>
    </row>
    <row r="2" spans="1:35" ht="16" thickBot="1" x14ac:dyDescent="0.25">
      <c r="B2" s="28"/>
      <c r="C2" s="29"/>
      <c r="D2" s="29" t="s">
        <v>56</v>
      </c>
      <c r="E2" s="30" t="s">
        <v>22</v>
      </c>
      <c r="F2" s="29" t="s">
        <v>56</v>
      </c>
      <c r="G2" s="30" t="s">
        <v>22</v>
      </c>
      <c r="H2" s="31" t="s">
        <v>20</v>
      </c>
      <c r="I2" s="31" t="s">
        <v>9</v>
      </c>
      <c r="J2" s="32" t="s">
        <v>21</v>
      </c>
      <c r="K2" s="33"/>
      <c r="L2" s="33"/>
      <c r="M2" s="260"/>
      <c r="N2" s="255"/>
      <c r="O2" s="255"/>
      <c r="P2" s="262"/>
      <c r="Q2" s="251"/>
      <c r="R2" s="252"/>
      <c r="S2" s="252"/>
      <c r="T2" s="253"/>
    </row>
    <row r="3" spans="1:35" ht="16" thickTop="1" x14ac:dyDescent="0.2">
      <c r="K3" s="4"/>
      <c r="L3" s="4"/>
      <c r="M3" s="4"/>
      <c r="N3" s="14"/>
      <c r="O3"/>
      <c r="P3"/>
      <c r="Q3" s="127"/>
    </row>
    <row r="4" spans="1:35" s="36" customFormat="1" ht="16" thickBot="1" x14ac:dyDescent="0.25">
      <c r="A4" s="37"/>
      <c r="B4" s="1"/>
      <c r="C4" s="37"/>
      <c r="N4" s="16"/>
      <c r="O4" s="39"/>
      <c r="P4" s="38"/>
      <c r="Q4" s="128"/>
      <c r="U4" s="40"/>
    </row>
    <row r="5" spans="1:35" s="36" customFormat="1" ht="15.75" customHeight="1" thickBot="1" x14ac:dyDescent="0.25">
      <c r="A5" s="37"/>
      <c r="B5" s="88" t="s">
        <v>36</v>
      </c>
      <c r="C5" s="99"/>
      <c r="D5" s="100" t="s">
        <v>30</v>
      </c>
      <c r="E5" s="100"/>
      <c r="F5" s="101" t="s">
        <v>34</v>
      </c>
      <c r="G5" s="102">
        <v>10.58</v>
      </c>
      <c r="H5" s="100" t="s">
        <v>35</v>
      </c>
      <c r="I5" s="100"/>
      <c r="J5" s="103"/>
      <c r="K5" s="69"/>
      <c r="L5" s="47"/>
      <c r="M5" s="46" t="s">
        <v>48</v>
      </c>
      <c r="N5" s="90" t="s">
        <v>49</v>
      </c>
      <c r="O5" s="70"/>
      <c r="P5" s="71"/>
      <c r="Q5" s="129"/>
      <c r="R5" s="35">
        <f>IF((O6+O7)=0,0,+R9/-(R6+R7))</f>
        <v>2.3820000000000001</v>
      </c>
      <c r="S5" s="257" t="s">
        <v>26</v>
      </c>
      <c r="T5" s="258"/>
      <c r="U5" s="40"/>
      <c r="W5" s="263" t="s">
        <v>39</v>
      </c>
      <c r="X5" s="256"/>
      <c r="Y5" s="256"/>
      <c r="Z5" s="256"/>
      <c r="AA5" s="256"/>
      <c r="AB5" s="256" t="s">
        <v>40</v>
      </c>
      <c r="AC5" s="256"/>
      <c r="AD5" s="256"/>
      <c r="AE5" s="256"/>
      <c r="AF5" s="256"/>
      <c r="AG5" s="256"/>
      <c r="AH5" s="256"/>
      <c r="AI5" s="256"/>
    </row>
    <row r="6" spans="1:35" s="36" customFormat="1" ht="15" customHeight="1" x14ac:dyDescent="0.2">
      <c r="A6" s="37"/>
      <c r="B6" s="89" t="s">
        <v>1</v>
      </c>
      <c r="C6" s="97" t="s">
        <v>4</v>
      </c>
      <c r="D6" s="49"/>
      <c r="E6" s="49"/>
      <c r="F6" s="91">
        <v>10</v>
      </c>
      <c r="G6" s="92" t="s">
        <v>10</v>
      </c>
      <c r="H6" s="51"/>
      <c r="I6" s="93">
        <v>2.9</v>
      </c>
      <c r="J6" s="57"/>
      <c r="K6" s="78" t="s">
        <v>15</v>
      </c>
      <c r="L6" s="75" t="s">
        <v>1</v>
      </c>
      <c r="M6" s="68">
        <v>10</v>
      </c>
      <c r="N6" s="52">
        <v>10</v>
      </c>
      <c r="O6" s="54">
        <f>+M6*100</f>
        <v>1000</v>
      </c>
      <c r="P6" s="55">
        <f>+I6</f>
        <v>2.9</v>
      </c>
      <c r="Q6" s="130">
        <f>+O6*P6-15</f>
        <v>2885</v>
      </c>
      <c r="R6" s="80">
        <f>IF(O6=0,0,-(F6*O6)*0.25)</f>
        <v>-2500</v>
      </c>
      <c r="S6" s="53" t="s">
        <v>27</v>
      </c>
      <c r="T6" s="56"/>
      <c r="U6" s="40">
        <f>IF(O6=0,0,-(O6*F6))</f>
        <v>-10000</v>
      </c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</row>
    <row r="7" spans="1:35" s="36" customFormat="1" ht="15" customHeight="1" thickBot="1" x14ac:dyDescent="0.25">
      <c r="A7" s="37"/>
      <c r="B7" s="82" t="s">
        <v>0</v>
      </c>
      <c r="C7" s="97" t="s">
        <v>4</v>
      </c>
      <c r="D7" s="49"/>
      <c r="E7" s="49"/>
      <c r="F7" s="91"/>
      <c r="G7" s="92"/>
      <c r="H7" s="51"/>
      <c r="I7" s="93"/>
      <c r="J7" s="57"/>
      <c r="K7" s="78" t="s">
        <v>15</v>
      </c>
      <c r="L7" s="76" t="s">
        <v>0</v>
      </c>
      <c r="M7" s="68">
        <v>0</v>
      </c>
      <c r="N7" s="52">
        <v>0</v>
      </c>
      <c r="O7" s="54">
        <f t="shared" ref="O7:O9" si="0">+M7*100</f>
        <v>0</v>
      </c>
      <c r="P7" s="55">
        <f>+I7</f>
        <v>0</v>
      </c>
      <c r="Q7" s="130">
        <v>0</v>
      </c>
      <c r="R7" s="80">
        <f>IF(O7=0,0,-(F7*O7)*0.25)</f>
        <v>0</v>
      </c>
      <c r="S7" s="53" t="s">
        <v>27</v>
      </c>
      <c r="T7" s="56"/>
      <c r="U7" s="118">
        <f>IF(O7=0,0,-(O7*F7))</f>
        <v>0</v>
      </c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</row>
    <row r="8" spans="1:35" s="36" customFormat="1" ht="15" customHeight="1" thickTop="1" x14ac:dyDescent="0.2">
      <c r="A8" s="37"/>
      <c r="B8" s="82" t="s">
        <v>7</v>
      </c>
      <c r="C8" s="96" t="s">
        <v>31</v>
      </c>
      <c r="D8" s="94">
        <v>8</v>
      </c>
      <c r="E8" s="92" t="s">
        <v>10</v>
      </c>
      <c r="F8" s="53"/>
      <c r="G8" s="53"/>
      <c r="H8" s="44">
        <v>-4.1500000000000004</v>
      </c>
      <c r="I8" s="86"/>
      <c r="J8" s="50">
        <f>+F9-D8</f>
        <v>5</v>
      </c>
      <c r="K8" s="79" t="s">
        <v>16</v>
      </c>
      <c r="L8" s="76" t="s">
        <v>0</v>
      </c>
      <c r="M8" s="68">
        <v>10</v>
      </c>
      <c r="N8" s="95">
        <v>10</v>
      </c>
      <c r="O8" s="54">
        <f t="shared" si="0"/>
        <v>1000</v>
      </c>
      <c r="P8" s="55">
        <f>+H8</f>
        <v>-4.1500000000000004</v>
      </c>
      <c r="Q8" s="131">
        <f>+O8*P8-15</f>
        <v>-4165</v>
      </c>
      <c r="R8" s="80">
        <f>+O8*J8</f>
        <v>5000</v>
      </c>
      <c r="S8" s="53" t="s">
        <v>11</v>
      </c>
      <c r="T8" s="56"/>
      <c r="U8" s="40">
        <f>+U6+U7+Q10</f>
        <v>-9045</v>
      </c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</row>
    <row r="9" spans="1:35" s="36" customFormat="1" ht="15.75" customHeight="1" thickBot="1" x14ac:dyDescent="0.25">
      <c r="A9" s="37"/>
      <c r="B9" s="82" t="s">
        <v>0</v>
      </c>
      <c r="C9" s="97" t="s">
        <v>4</v>
      </c>
      <c r="D9" s="51"/>
      <c r="E9" s="51"/>
      <c r="F9" s="91">
        <v>13</v>
      </c>
      <c r="G9" s="92" t="s">
        <v>10</v>
      </c>
      <c r="H9" s="51"/>
      <c r="I9" s="93">
        <v>2.25</v>
      </c>
      <c r="J9" s="18"/>
      <c r="K9" s="78" t="s">
        <v>17</v>
      </c>
      <c r="L9" s="77" t="s">
        <v>0</v>
      </c>
      <c r="M9" s="68">
        <v>10</v>
      </c>
      <c r="N9" s="52">
        <v>10</v>
      </c>
      <c r="O9" s="54">
        <f t="shared" si="0"/>
        <v>1000</v>
      </c>
      <c r="P9" s="55">
        <f>+I9</f>
        <v>2.25</v>
      </c>
      <c r="Q9" s="132">
        <f>+O9*P9-15</f>
        <v>2235</v>
      </c>
      <c r="R9" s="80">
        <f>+R8+Q10</f>
        <v>5955</v>
      </c>
      <c r="S9" s="53" t="s">
        <v>28</v>
      </c>
      <c r="T9" s="56"/>
      <c r="U9" s="40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</row>
    <row r="10" spans="1:35" s="36" customFormat="1" ht="16.5" customHeight="1" thickTop="1" thickBot="1" x14ac:dyDescent="0.25">
      <c r="A10" s="37"/>
      <c r="B10" s="73"/>
      <c r="C10" s="74"/>
      <c r="D10" s="64"/>
      <c r="E10" s="64"/>
      <c r="F10" s="64"/>
      <c r="G10" s="64"/>
      <c r="H10" s="21" t="s">
        <v>14</v>
      </c>
      <c r="I10" s="65">
        <f>+H8+I9+I6+I7</f>
        <v>0.99999999999999956</v>
      </c>
      <c r="J10" s="72"/>
      <c r="K10" s="62"/>
      <c r="L10" s="63"/>
      <c r="M10" s="67"/>
      <c r="N10" s="63"/>
      <c r="O10" s="64"/>
      <c r="P10" s="98" t="s">
        <v>54</v>
      </c>
      <c r="Q10" s="133">
        <f>SUM(Q6:Q9)</f>
        <v>955</v>
      </c>
      <c r="R10" s="121" t="str">
        <f>IF(R9&gt;0,"Infinity",(R8/Q10))</f>
        <v>Infinity</v>
      </c>
      <c r="S10" s="64" t="s">
        <v>55</v>
      </c>
      <c r="T10" s="66"/>
      <c r="U10" s="40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</row>
    <row r="11" spans="1:35" s="36" customFormat="1" ht="15.75" customHeight="1" thickBot="1" x14ac:dyDescent="0.25">
      <c r="A11" s="37"/>
      <c r="B11" s="88" t="s">
        <v>37</v>
      </c>
      <c r="C11" s="99"/>
      <c r="D11" s="100" t="s">
        <v>38</v>
      </c>
      <c r="E11" s="100"/>
      <c r="F11" s="101" t="s">
        <v>34</v>
      </c>
      <c r="G11" s="102">
        <v>10.36</v>
      </c>
      <c r="H11" s="100" t="s">
        <v>35</v>
      </c>
      <c r="I11" s="100"/>
      <c r="J11" s="103"/>
      <c r="K11" s="69"/>
      <c r="L11" s="47"/>
      <c r="M11" s="46" t="s">
        <v>48</v>
      </c>
      <c r="N11" s="90" t="s">
        <v>49</v>
      </c>
      <c r="O11" s="70"/>
      <c r="P11" s="71"/>
      <c r="Q11" s="129"/>
      <c r="R11" s="35">
        <f>IF((O12+O13)=0,0,+R15/-(R12+R13))</f>
        <v>2.3220000000000001</v>
      </c>
      <c r="S11" s="257" t="s">
        <v>26</v>
      </c>
      <c r="T11" s="258"/>
      <c r="U11" s="40"/>
      <c r="W11" s="263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</row>
    <row r="12" spans="1:35" s="36" customFormat="1" ht="15" customHeight="1" x14ac:dyDescent="0.2">
      <c r="A12" s="37"/>
      <c r="B12" s="89" t="s">
        <v>1</v>
      </c>
      <c r="C12" s="97" t="s">
        <v>4</v>
      </c>
      <c r="D12" s="49"/>
      <c r="E12" s="49"/>
      <c r="F12" s="91">
        <v>10</v>
      </c>
      <c r="G12" s="92" t="s">
        <v>10</v>
      </c>
      <c r="H12" s="51"/>
      <c r="I12" s="93">
        <v>2.75</v>
      </c>
      <c r="J12" s="57"/>
      <c r="K12" s="78" t="s">
        <v>15</v>
      </c>
      <c r="L12" s="75" t="s">
        <v>1</v>
      </c>
      <c r="M12" s="68">
        <v>10</v>
      </c>
      <c r="N12" s="114">
        <v>10</v>
      </c>
      <c r="O12" s="54">
        <f t="shared" ref="O12:O15" si="1">+M12*100</f>
        <v>1000</v>
      </c>
      <c r="P12" s="55">
        <f>+I12</f>
        <v>2.75</v>
      </c>
      <c r="Q12" s="130">
        <f>+O12*P12-15</f>
        <v>2735</v>
      </c>
      <c r="R12" s="80">
        <f>IF(O12=0,0,-(F12*O12)*0.25)</f>
        <v>-2500</v>
      </c>
      <c r="S12" s="53" t="s">
        <v>27</v>
      </c>
      <c r="T12" s="56"/>
      <c r="U12" s="40">
        <f>IF(O12=0,0,-(O12*F12))</f>
        <v>-10000</v>
      </c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</row>
    <row r="13" spans="1:35" s="36" customFormat="1" ht="15" customHeight="1" thickBot="1" x14ac:dyDescent="0.25">
      <c r="A13" s="37"/>
      <c r="B13" s="82" t="s">
        <v>0</v>
      </c>
      <c r="C13" s="97" t="s">
        <v>4</v>
      </c>
      <c r="D13" s="49"/>
      <c r="E13" s="49"/>
      <c r="F13" s="91"/>
      <c r="G13" s="92"/>
      <c r="H13" s="51"/>
      <c r="I13" s="93"/>
      <c r="J13" s="57"/>
      <c r="K13" s="78" t="s">
        <v>15</v>
      </c>
      <c r="L13" s="76" t="s">
        <v>0</v>
      </c>
      <c r="M13" s="68">
        <v>0</v>
      </c>
      <c r="N13" s="106"/>
      <c r="O13" s="54">
        <f t="shared" si="1"/>
        <v>0</v>
      </c>
      <c r="P13" s="55">
        <f>+I13</f>
        <v>0</v>
      </c>
      <c r="Q13" s="130">
        <v>0</v>
      </c>
      <c r="R13" s="80">
        <f>IF(O13=0,0,-(F13*O13)*0.25)</f>
        <v>0</v>
      </c>
      <c r="S13" s="53" t="s">
        <v>27</v>
      </c>
      <c r="T13" s="56"/>
      <c r="U13" s="118">
        <f>IF(O13=0,0,-(O13*F13))</f>
        <v>0</v>
      </c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</row>
    <row r="14" spans="1:35" s="36" customFormat="1" ht="15" customHeight="1" thickTop="1" x14ac:dyDescent="0.2">
      <c r="A14" s="37"/>
      <c r="B14" s="82" t="s">
        <v>7</v>
      </c>
      <c r="C14" s="96" t="s">
        <v>31</v>
      </c>
      <c r="D14" s="94">
        <v>8</v>
      </c>
      <c r="E14" s="92" t="s">
        <v>10</v>
      </c>
      <c r="F14" s="53"/>
      <c r="G14" s="53"/>
      <c r="H14" s="44">
        <v>-4.1500000000000004</v>
      </c>
      <c r="I14" s="86"/>
      <c r="J14" s="50">
        <f>+F15-D14</f>
        <v>5</v>
      </c>
      <c r="K14" s="79" t="s">
        <v>16</v>
      </c>
      <c r="L14" s="76" t="s">
        <v>0</v>
      </c>
      <c r="M14" s="68">
        <v>10</v>
      </c>
      <c r="N14" s="115">
        <v>10</v>
      </c>
      <c r="O14" s="54">
        <f t="shared" si="1"/>
        <v>1000</v>
      </c>
      <c r="P14" s="55">
        <f>+H14</f>
        <v>-4.1500000000000004</v>
      </c>
      <c r="Q14" s="131">
        <f>+O14*P14-15</f>
        <v>-4165</v>
      </c>
      <c r="R14" s="80">
        <f>+O14*J14</f>
        <v>5000</v>
      </c>
      <c r="S14" s="53" t="s">
        <v>11</v>
      </c>
      <c r="T14" s="56"/>
      <c r="U14" s="40">
        <f>+U12+U13+Q16</f>
        <v>-9195</v>
      </c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</row>
    <row r="15" spans="1:35" s="36" customFormat="1" ht="15.75" customHeight="1" thickBot="1" x14ac:dyDescent="0.25">
      <c r="A15" s="37"/>
      <c r="B15" s="82" t="s">
        <v>0</v>
      </c>
      <c r="C15" s="97" t="s">
        <v>4</v>
      </c>
      <c r="D15" s="51"/>
      <c r="E15" s="51"/>
      <c r="F15" s="91">
        <v>13</v>
      </c>
      <c r="G15" s="92" t="s">
        <v>10</v>
      </c>
      <c r="H15" s="51"/>
      <c r="I15" s="93">
        <v>2.25</v>
      </c>
      <c r="J15" s="18"/>
      <c r="K15" s="78" t="s">
        <v>17</v>
      </c>
      <c r="L15" s="77" t="s">
        <v>0</v>
      </c>
      <c r="M15" s="68">
        <v>10</v>
      </c>
      <c r="N15" s="116">
        <v>0</v>
      </c>
      <c r="O15" s="54">
        <f t="shared" si="1"/>
        <v>1000</v>
      </c>
      <c r="P15" s="55">
        <f>+I15</f>
        <v>2.25</v>
      </c>
      <c r="Q15" s="132">
        <f>+O15*P15-15</f>
        <v>2235</v>
      </c>
      <c r="R15" s="80">
        <f>+R14+Q16</f>
        <v>5805</v>
      </c>
      <c r="S15" s="53" t="s">
        <v>28</v>
      </c>
      <c r="T15" s="56"/>
      <c r="U15" s="40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</row>
    <row r="16" spans="1:35" s="36" customFormat="1" ht="16.5" customHeight="1" thickTop="1" thickBot="1" x14ac:dyDescent="0.25">
      <c r="A16" s="37"/>
      <c r="B16" s="73"/>
      <c r="C16" s="74"/>
      <c r="D16" s="64"/>
      <c r="E16" s="64"/>
      <c r="F16" s="64"/>
      <c r="G16" s="64"/>
      <c r="H16" s="21" t="s">
        <v>14</v>
      </c>
      <c r="I16" s="65">
        <f>+H14+I15+I12+I13</f>
        <v>0.84999999999999964</v>
      </c>
      <c r="J16" s="72"/>
      <c r="K16" s="62"/>
      <c r="L16" s="63"/>
      <c r="M16" s="67"/>
      <c r="N16" s="63"/>
      <c r="O16" s="64"/>
      <c r="P16" s="98" t="s">
        <v>54</v>
      </c>
      <c r="Q16" s="133">
        <f>SUM(Q12:Q15)</f>
        <v>805</v>
      </c>
      <c r="R16" s="120" t="str">
        <f>IF(R15&gt;0,"Infinity",(R14/Q16))</f>
        <v>Infinity</v>
      </c>
      <c r="S16" s="64" t="s">
        <v>55</v>
      </c>
      <c r="T16" s="66"/>
      <c r="U16" s="40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</row>
    <row r="17" spans="1:37" s="36" customFormat="1" ht="16" thickBot="1" x14ac:dyDescent="0.25">
      <c r="A17" s="37"/>
      <c r="B17" s="1"/>
      <c r="C17" s="37"/>
      <c r="N17" s="16"/>
      <c r="O17" s="39"/>
      <c r="P17" s="38"/>
      <c r="Q17" s="128"/>
      <c r="U17" s="40"/>
    </row>
    <row r="18" spans="1:37" s="36" customFormat="1" ht="16" thickBot="1" x14ac:dyDescent="0.25">
      <c r="A18" s="37"/>
      <c r="B18" s="88" t="s">
        <v>42</v>
      </c>
      <c r="C18" s="99"/>
      <c r="D18" s="100" t="s">
        <v>43</v>
      </c>
      <c r="E18" s="100"/>
      <c r="F18" s="101" t="s">
        <v>42</v>
      </c>
      <c r="G18" s="102">
        <v>19.72</v>
      </c>
      <c r="H18" s="104" t="s">
        <v>32</v>
      </c>
      <c r="I18" s="100"/>
      <c r="J18" s="103"/>
      <c r="K18" s="69"/>
      <c r="L18" s="47"/>
      <c r="M18" s="46" t="s">
        <v>48</v>
      </c>
      <c r="N18" s="90" t="s">
        <v>49</v>
      </c>
      <c r="O18" s="70"/>
      <c r="P18" s="71"/>
      <c r="Q18" s="129"/>
      <c r="R18" s="35">
        <f>IF((O19+O20)=0,0,+R22/-(R19+R20))</f>
        <v>3.5710000000000002</v>
      </c>
      <c r="S18" s="257" t="s">
        <v>26</v>
      </c>
      <c r="T18" s="258"/>
      <c r="U18" s="40"/>
      <c r="W18" s="263"/>
      <c r="X18" s="256"/>
      <c r="Y18" s="256"/>
      <c r="Z18" s="256"/>
      <c r="AA18" s="256"/>
    </row>
    <row r="19" spans="1:37" s="36" customFormat="1" x14ac:dyDescent="0.2">
      <c r="A19" s="37"/>
      <c r="B19" s="34" t="s">
        <v>1</v>
      </c>
      <c r="C19" s="81" t="s">
        <v>4</v>
      </c>
      <c r="D19" s="49"/>
      <c r="E19" s="49"/>
      <c r="F19" s="91"/>
      <c r="G19" s="92"/>
      <c r="H19" s="51"/>
      <c r="I19" s="93"/>
      <c r="J19" s="57"/>
      <c r="K19" s="78" t="s">
        <v>15</v>
      </c>
      <c r="L19" s="75" t="s">
        <v>1</v>
      </c>
      <c r="M19" s="68">
        <v>0</v>
      </c>
      <c r="N19" s="105">
        <v>0</v>
      </c>
      <c r="O19" s="54">
        <f t="shared" ref="O19:O22" si="2">+M19*100</f>
        <v>0</v>
      </c>
      <c r="P19" s="55">
        <f>+I19</f>
        <v>0</v>
      </c>
      <c r="Q19" s="130">
        <v>0</v>
      </c>
      <c r="R19" s="80">
        <f>IF(O19=0,0,-(F19*O19)*0.25)</f>
        <v>0</v>
      </c>
      <c r="S19" s="53" t="s">
        <v>27</v>
      </c>
      <c r="T19" s="56"/>
      <c r="U19" s="40">
        <f>IF(O19=0,0,-(O19*F19))</f>
        <v>0</v>
      </c>
      <c r="W19" s="256"/>
      <c r="X19" s="256"/>
      <c r="Y19" s="256"/>
      <c r="Z19" s="256"/>
      <c r="AA19" s="256"/>
    </row>
    <row r="20" spans="1:37" s="36" customFormat="1" ht="16" thickBot="1" x14ac:dyDescent="0.25">
      <c r="A20" s="37"/>
      <c r="B20" s="34" t="s">
        <v>1</v>
      </c>
      <c r="C20" s="81" t="s">
        <v>4</v>
      </c>
      <c r="D20" s="49"/>
      <c r="E20" s="17"/>
      <c r="F20" s="91">
        <v>20</v>
      </c>
      <c r="G20" s="92" t="s">
        <v>10</v>
      </c>
      <c r="H20" s="51"/>
      <c r="I20" s="93">
        <v>4.3</v>
      </c>
      <c r="J20" s="57"/>
      <c r="K20" s="78" t="s">
        <v>15</v>
      </c>
      <c r="L20" s="75" t="s">
        <v>1</v>
      </c>
      <c r="M20" s="68">
        <v>10</v>
      </c>
      <c r="N20" s="106">
        <v>0</v>
      </c>
      <c r="O20" s="54">
        <f t="shared" si="2"/>
        <v>1000</v>
      </c>
      <c r="P20" s="55">
        <f>+I20</f>
        <v>4.3</v>
      </c>
      <c r="Q20" s="130">
        <f>+O20*P20-15</f>
        <v>4285</v>
      </c>
      <c r="R20" s="80">
        <f>IF(O20=0,0,-(F20*O20)*0.25)</f>
        <v>-5000</v>
      </c>
      <c r="S20" s="53" t="s">
        <v>27</v>
      </c>
      <c r="T20" s="56"/>
      <c r="U20" s="118">
        <f>IF(O20=0,0,-(O20*F20))</f>
        <v>-20000</v>
      </c>
      <c r="W20" s="256"/>
      <c r="X20" s="256"/>
      <c r="Y20" s="256"/>
      <c r="Z20" s="256"/>
      <c r="AA20" s="256"/>
    </row>
    <row r="21" spans="1:37" s="36" customFormat="1" ht="16" thickTop="1" x14ac:dyDescent="0.2">
      <c r="A21" s="37"/>
      <c r="B21" s="82" t="s">
        <v>7</v>
      </c>
      <c r="C21" s="83" t="s">
        <v>3</v>
      </c>
      <c r="D21" s="94">
        <v>20</v>
      </c>
      <c r="E21" s="92" t="s">
        <v>41</v>
      </c>
      <c r="F21" s="53"/>
      <c r="G21" s="53"/>
      <c r="H21" s="44">
        <v>-3.8</v>
      </c>
      <c r="I21" s="86"/>
      <c r="J21" s="50">
        <f>+F22-D21</f>
        <v>5</v>
      </c>
      <c r="K21" s="79" t="s">
        <v>16</v>
      </c>
      <c r="L21" s="76" t="s">
        <v>0</v>
      </c>
      <c r="M21" s="68">
        <v>40</v>
      </c>
      <c r="N21" s="106">
        <v>0</v>
      </c>
      <c r="O21" s="54">
        <f t="shared" si="2"/>
        <v>4000</v>
      </c>
      <c r="P21" s="55">
        <f>+H21</f>
        <v>-3.8</v>
      </c>
      <c r="Q21" s="131">
        <f>+O21*P21-15</f>
        <v>-15215</v>
      </c>
      <c r="R21" s="80">
        <f>+O21*J21</f>
        <v>20000</v>
      </c>
      <c r="S21" s="53" t="s">
        <v>11</v>
      </c>
      <c r="T21" s="56"/>
      <c r="U21" s="40">
        <f>+U19+U20+Q23</f>
        <v>-22145</v>
      </c>
      <c r="W21" s="256"/>
      <c r="X21" s="256"/>
      <c r="Y21" s="256"/>
      <c r="Z21" s="256"/>
      <c r="AA21" s="256"/>
    </row>
    <row r="22" spans="1:37" s="36" customFormat="1" ht="16" thickBot="1" x14ac:dyDescent="0.25">
      <c r="A22" s="37"/>
      <c r="B22" s="82" t="s">
        <v>0</v>
      </c>
      <c r="C22" s="81" t="s">
        <v>4</v>
      </c>
      <c r="D22" s="51"/>
      <c r="E22" s="51"/>
      <c r="F22" s="91">
        <v>25</v>
      </c>
      <c r="G22" s="92" t="s">
        <v>10</v>
      </c>
      <c r="H22" s="51"/>
      <c r="I22" s="93">
        <v>2.2000000000000002</v>
      </c>
      <c r="J22" s="18"/>
      <c r="K22" s="78" t="s">
        <v>17</v>
      </c>
      <c r="L22" s="77" t="s">
        <v>0</v>
      </c>
      <c r="M22" s="68">
        <v>40</v>
      </c>
      <c r="N22" s="107">
        <v>0</v>
      </c>
      <c r="O22" s="54">
        <f t="shared" si="2"/>
        <v>4000</v>
      </c>
      <c r="P22" s="55">
        <f>+I22</f>
        <v>2.2000000000000002</v>
      </c>
      <c r="Q22" s="132">
        <f>+O22*P22-15</f>
        <v>8785</v>
      </c>
      <c r="R22" s="80">
        <f>+R21+Q23</f>
        <v>17855</v>
      </c>
      <c r="S22" s="53" t="s">
        <v>28</v>
      </c>
      <c r="T22" s="56"/>
      <c r="U22" s="40"/>
      <c r="W22" s="256"/>
      <c r="X22" s="256"/>
      <c r="Y22" s="256"/>
      <c r="Z22" s="256"/>
      <c r="AA22" s="256"/>
    </row>
    <row r="23" spans="1:37" s="36" customFormat="1" ht="17" thickTop="1" thickBot="1" x14ac:dyDescent="0.25">
      <c r="A23" s="37"/>
      <c r="B23" s="73"/>
      <c r="C23" s="74"/>
      <c r="D23" s="64"/>
      <c r="E23" s="64"/>
      <c r="F23" s="64"/>
      <c r="G23" s="64"/>
      <c r="H23" s="21" t="s">
        <v>14</v>
      </c>
      <c r="I23" s="65">
        <f>+H21+I22+I19+I20</f>
        <v>2.7</v>
      </c>
      <c r="J23" s="72"/>
      <c r="K23" s="62"/>
      <c r="L23" s="63"/>
      <c r="M23" s="67"/>
      <c r="N23" s="63"/>
      <c r="O23" s="64"/>
      <c r="P23" s="98" t="s">
        <v>54</v>
      </c>
      <c r="Q23" s="133">
        <f>SUM(Q19:Q22)</f>
        <v>-2145</v>
      </c>
      <c r="R23" s="119">
        <f>IF(Q23&gt;0,"Infinity",-(R22/Q23))</f>
        <v>8.3240093240093245</v>
      </c>
      <c r="S23" s="64" t="s">
        <v>55</v>
      </c>
      <c r="T23" s="66"/>
      <c r="U23" s="40"/>
      <c r="W23" s="256"/>
      <c r="X23" s="256"/>
      <c r="Y23" s="256"/>
      <c r="Z23" s="256"/>
      <c r="AA23" s="256"/>
    </row>
    <row r="24" spans="1:37" s="36" customFormat="1" ht="16" thickBot="1" x14ac:dyDescent="0.25">
      <c r="A24" s="37"/>
      <c r="B24" s="1"/>
      <c r="C24" s="37"/>
      <c r="N24" s="16"/>
      <c r="O24" s="39"/>
      <c r="P24" s="38"/>
      <c r="Q24" s="128"/>
      <c r="U24" s="40"/>
    </row>
    <row r="25" spans="1:37" s="36" customFormat="1" ht="16" thickBot="1" x14ac:dyDescent="0.25">
      <c r="A25" s="37"/>
      <c r="B25" s="88" t="s">
        <v>6</v>
      </c>
      <c r="C25" s="99"/>
      <c r="D25" s="100" t="s">
        <v>43</v>
      </c>
      <c r="E25" s="100"/>
      <c r="F25" s="101" t="s">
        <v>6</v>
      </c>
      <c r="G25" s="102">
        <v>117.7</v>
      </c>
      <c r="H25" s="104" t="s">
        <v>32</v>
      </c>
      <c r="I25" s="100"/>
      <c r="J25" s="103"/>
      <c r="K25" s="69"/>
      <c r="L25" s="47"/>
      <c r="M25" s="46" t="s">
        <v>48</v>
      </c>
      <c r="N25" s="90" t="s">
        <v>49</v>
      </c>
      <c r="O25" s="70"/>
      <c r="P25" s="71"/>
      <c r="Q25" s="129"/>
      <c r="R25" s="35">
        <f>IF((O26+O27)=0,0,+R29/-(R26+R27))</f>
        <v>1.1659999999999999</v>
      </c>
      <c r="S25" s="257" t="s">
        <v>26</v>
      </c>
      <c r="T25" s="258"/>
      <c r="U25" s="40"/>
      <c r="W25" s="263"/>
      <c r="X25" s="256"/>
      <c r="Y25" s="256"/>
      <c r="Z25" s="256"/>
      <c r="AA25" s="256"/>
    </row>
    <row r="26" spans="1:37" s="36" customFormat="1" x14ac:dyDescent="0.2">
      <c r="A26" s="37"/>
      <c r="B26" s="34" t="s">
        <v>1</v>
      </c>
      <c r="C26" s="81" t="s">
        <v>4</v>
      </c>
      <c r="D26" s="49"/>
      <c r="E26" s="49"/>
      <c r="F26" s="91"/>
      <c r="G26" s="92"/>
      <c r="H26" s="51"/>
      <c r="I26" s="93"/>
      <c r="J26" s="57"/>
      <c r="K26" s="78" t="s">
        <v>15</v>
      </c>
      <c r="L26" s="75" t="s">
        <v>1</v>
      </c>
      <c r="M26" s="68">
        <v>0</v>
      </c>
      <c r="N26" s="105">
        <v>0</v>
      </c>
      <c r="O26" s="54">
        <f t="shared" ref="O26:O29" si="3">+M26*100</f>
        <v>0</v>
      </c>
      <c r="P26" s="55">
        <f>+I26</f>
        <v>0</v>
      </c>
      <c r="Q26" s="130">
        <v>0</v>
      </c>
      <c r="R26" s="80">
        <f>IF(O26=0,0,-(F26*O26)*0.25)</f>
        <v>0</v>
      </c>
      <c r="S26" s="53" t="s">
        <v>27</v>
      </c>
      <c r="T26" s="56"/>
      <c r="U26" s="40">
        <f>IF(O26=0,0,-(O26*F26))</f>
        <v>0</v>
      </c>
      <c r="W26" s="256"/>
      <c r="X26" s="256"/>
      <c r="Y26" s="256"/>
      <c r="Z26" s="256"/>
      <c r="AA26" s="256"/>
    </row>
    <row r="27" spans="1:37" s="36" customFormat="1" ht="16" thickBot="1" x14ac:dyDescent="0.25">
      <c r="A27" s="37"/>
      <c r="B27" s="34" t="s">
        <v>1</v>
      </c>
      <c r="C27" s="81" t="s">
        <v>4</v>
      </c>
      <c r="D27" s="49"/>
      <c r="E27" s="17"/>
      <c r="F27" s="91">
        <v>100</v>
      </c>
      <c r="G27" s="92" t="s">
        <v>41</v>
      </c>
      <c r="H27" s="51"/>
      <c r="I27" s="93">
        <v>10.55</v>
      </c>
      <c r="J27" s="57"/>
      <c r="K27" s="78" t="s">
        <v>15</v>
      </c>
      <c r="L27" s="75" t="s">
        <v>1</v>
      </c>
      <c r="M27" s="68">
        <v>3</v>
      </c>
      <c r="N27" s="106">
        <v>0</v>
      </c>
      <c r="O27" s="54">
        <f t="shared" si="3"/>
        <v>300</v>
      </c>
      <c r="P27" s="55">
        <f>+I27</f>
        <v>10.55</v>
      </c>
      <c r="Q27" s="130">
        <f>+O27*P27-15</f>
        <v>3150</v>
      </c>
      <c r="R27" s="80">
        <f>IF(O27=0,0,-(F27*O27)*0.25)</f>
        <v>-7500</v>
      </c>
      <c r="S27" s="53" t="s">
        <v>27</v>
      </c>
      <c r="T27" s="56"/>
      <c r="U27" s="118">
        <f>IF(O27=0,0,-(O27*F27))</f>
        <v>-30000</v>
      </c>
      <c r="W27" s="256"/>
      <c r="X27" s="256"/>
      <c r="Y27" s="256"/>
      <c r="Z27" s="256"/>
      <c r="AA27" s="256"/>
    </row>
    <row r="28" spans="1:37" s="36" customFormat="1" ht="16" thickTop="1" x14ac:dyDescent="0.2">
      <c r="A28" s="37"/>
      <c r="B28" s="82" t="s">
        <v>7</v>
      </c>
      <c r="C28" s="83" t="s">
        <v>3</v>
      </c>
      <c r="D28" s="94">
        <v>110</v>
      </c>
      <c r="E28" s="92" t="s">
        <v>41</v>
      </c>
      <c r="F28" s="53"/>
      <c r="G28" s="53"/>
      <c r="H28" s="44">
        <v>-20.75</v>
      </c>
      <c r="I28" s="86"/>
      <c r="J28" s="50">
        <f>+F29-D28</f>
        <v>20</v>
      </c>
      <c r="K28" s="79" t="s">
        <v>16</v>
      </c>
      <c r="L28" s="76" t="s">
        <v>0</v>
      </c>
      <c r="M28" s="68">
        <v>5</v>
      </c>
      <c r="N28" s="106">
        <v>0</v>
      </c>
      <c r="O28" s="54">
        <f t="shared" si="3"/>
        <v>500</v>
      </c>
      <c r="P28" s="55">
        <f>+H28</f>
        <v>-20.75</v>
      </c>
      <c r="Q28" s="131">
        <f>+O28*P28-15</f>
        <v>-10390</v>
      </c>
      <c r="R28" s="80">
        <f>+O28*J28</f>
        <v>10000</v>
      </c>
      <c r="S28" s="53" t="s">
        <v>11</v>
      </c>
      <c r="T28" s="56"/>
      <c r="U28" s="40">
        <f>+U26+U27+Q30</f>
        <v>-31255</v>
      </c>
      <c r="W28" s="256"/>
      <c r="X28" s="256"/>
      <c r="Y28" s="256"/>
      <c r="Z28" s="256"/>
      <c r="AA28" s="256"/>
    </row>
    <row r="29" spans="1:37" s="36" customFormat="1" ht="16" thickBot="1" x14ac:dyDescent="0.25">
      <c r="A29" s="37"/>
      <c r="B29" s="82" t="s">
        <v>0</v>
      </c>
      <c r="C29" s="81" t="s">
        <v>4</v>
      </c>
      <c r="D29" s="51"/>
      <c r="E29" s="51"/>
      <c r="F29" s="91">
        <v>130</v>
      </c>
      <c r="G29" s="92" t="s">
        <v>41</v>
      </c>
      <c r="H29" s="51"/>
      <c r="I29" s="93">
        <v>12</v>
      </c>
      <c r="J29" s="18"/>
      <c r="K29" s="78" t="s">
        <v>17</v>
      </c>
      <c r="L29" s="77" t="s">
        <v>0</v>
      </c>
      <c r="M29" s="68">
        <v>5</v>
      </c>
      <c r="N29" s="107">
        <v>0</v>
      </c>
      <c r="O29" s="54">
        <f t="shared" si="3"/>
        <v>500</v>
      </c>
      <c r="P29" s="55">
        <f>+I29</f>
        <v>12</v>
      </c>
      <c r="Q29" s="132">
        <f>+O29*P29-15</f>
        <v>5985</v>
      </c>
      <c r="R29" s="80">
        <f>+R28+Q30</f>
        <v>8745</v>
      </c>
      <c r="S29" s="53" t="s">
        <v>28</v>
      </c>
      <c r="T29" s="56"/>
      <c r="U29" s="40"/>
      <c r="W29" s="256"/>
      <c r="X29" s="256"/>
      <c r="Y29" s="256"/>
      <c r="Z29" s="256"/>
      <c r="AA29" s="256"/>
    </row>
    <row r="30" spans="1:37" s="36" customFormat="1" ht="17" thickTop="1" thickBot="1" x14ac:dyDescent="0.25">
      <c r="A30" s="37"/>
      <c r="B30" s="73"/>
      <c r="C30" s="74"/>
      <c r="D30" s="64"/>
      <c r="E30" s="64"/>
      <c r="F30" s="64"/>
      <c r="G30" s="64"/>
      <c r="H30" s="21" t="s">
        <v>14</v>
      </c>
      <c r="I30" s="65">
        <f>+H28+I29+I26+I27</f>
        <v>1.8000000000000007</v>
      </c>
      <c r="J30" s="72"/>
      <c r="K30" s="62"/>
      <c r="L30" s="63"/>
      <c r="M30" s="67"/>
      <c r="N30" s="63"/>
      <c r="O30" s="64"/>
      <c r="P30" s="98" t="s">
        <v>54</v>
      </c>
      <c r="Q30" s="133">
        <f>SUM(Q26:Q29)</f>
        <v>-1255</v>
      </c>
      <c r="R30" s="119">
        <f>IF(Q30&gt;0,"Infinity",-(R29/Q30))</f>
        <v>6.9681274900398407</v>
      </c>
      <c r="S30" s="64" t="s">
        <v>55</v>
      </c>
      <c r="T30" s="66"/>
      <c r="U30" s="40"/>
      <c r="W30" s="256"/>
      <c r="X30" s="256"/>
      <c r="Y30" s="256"/>
      <c r="Z30" s="256"/>
      <c r="AA30" s="256"/>
    </row>
    <row r="31" spans="1:37" s="36" customFormat="1" ht="16" thickBot="1" x14ac:dyDescent="0.25">
      <c r="A31" s="37"/>
      <c r="B31" s="1"/>
      <c r="C31" s="37"/>
      <c r="N31" s="16"/>
      <c r="O31" s="39"/>
      <c r="P31" s="38"/>
      <c r="Q31" s="128"/>
      <c r="U31" s="40"/>
    </row>
    <row r="32" spans="1:37" s="36" customFormat="1" ht="16" thickBot="1" x14ac:dyDescent="0.25">
      <c r="A32" s="37"/>
      <c r="B32" s="140" t="s">
        <v>60</v>
      </c>
      <c r="C32" s="99" t="s">
        <v>61</v>
      </c>
      <c r="D32" s="100" t="s">
        <v>30</v>
      </c>
      <c r="E32" s="100"/>
      <c r="F32" s="101" t="s">
        <v>62</v>
      </c>
      <c r="G32" s="102">
        <v>34.159999999999997</v>
      </c>
      <c r="H32" s="100" t="s">
        <v>32</v>
      </c>
      <c r="I32" s="100"/>
      <c r="J32" s="103"/>
      <c r="K32" s="69"/>
      <c r="L32" s="47"/>
      <c r="M32" s="47"/>
      <c r="N32" s="141"/>
      <c r="O32" s="70"/>
      <c r="P32" s="71"/>
      <c r="Q32" s="70"/>
      <c r="R32" s="35">
        <f>IF((O33+O34)=0,0,+R36/-(R33+R34))</f>
        <v>0.49444444444444446</v>
      </c>
      <c r="S32" s="257" t="s">
        <v>26</v>
      </c>
      <c r="T32" s="258"/>
      <c r="U32" s="40"/>
      <c r="W32" s="263" t="s">
        <v>63</v>
      </c>
      <c r="X32" s="256"/>
      <c r="Y32" s="256"/>
      <c r="Z32" s="256"/>
      <c r="AA32" s="256"/>
      <c r="AB32" s="247" t="s">
        <v>64</v>
      </c>
      <c r="AC32" s="247"/>
      <c r="AD32" s="247"/>
      <c r="AE32" s="247"/>
      <c r="AF32" s="247"/>
      <c r="AG32" s="247"/>
      <c r="AH32" s="247"/>
      <c r="AI32" s="247"/>
      <c r="AJ32" s="247"/>
      <c r="AK32" s="247"/>
    </row>
    <row r="33" spans="1:37" s="36" customFormat="1" x14ac:dyDescent="0.2">
      <c r="A33" s="37"/>
      <c r="B33" s="34" t="s">
        <v>1</v>
      </c>
      <c r="C33" s="81" t="s">
        <v>4</v>
      </c>
      <c r="D33" s="49"/>
      <c r="E33" s="49"/>
      <c r="F33" s="91"/>
      <c r="G33" s="92"/>
      <c r="H33" s="51"/>
      <c r="I33" s="93"/>
      <c r="J33" s="57"/>
      <c r="K33" s="78" t="s">
        <v>15</v>
      </c>
      <c r="L33" s="75" t="s">
        <v>1</v>
      </c>
      <c r="M33" s="52"/>
      <c r="N33" s="52"/>
      <c r="O33" s="54">
        <f>+M33*100</f>
        <v>0</v>
      </c>
      <c r="P33" s="55">
        <f>+I33</f>
        <v>0</v>
      </c>
      <c r="Q33" s="142">
        <f>+O33*P33+15</f>
        <v>15</v>
      </c>
      <c r="R33" s="80">
        <f>IF(O33=0,0,-(F33*O33)*0.8)</f>
        <v>0</v>
      </c>
      <c r="S33" s="53" t="s">
        <v>27</v>
      </c>
      <c r="T33" s="56"/>
      <c r="U33" s="40">
        <f>IF(O33=0,0,-(O33*F33))</f>
        <v>0</v>
      </c>
      <c r="W33" s="256"/>
      <c r="X33" s="256"/>
      <c r="Y33" s="256"/>
      <c r="Z33" s="256"/>
      <c r="AA33" s="256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</row>
    <row r="34" spans="1:37" s="36" customFormat="1" ht="16" thickBot="1" x14ac:dyDescent="0.25">
      <c r="A34" s="37"/>
      <c r="B34" s="34" t="s">
        <v>1</v>
      </c>
      <c r="C34" s="81" t="s">
        <v>65</v>
      </c>
      <c r="D34" s="49"/>
      <c r="E34" s="49"/>
      <c r="F34" s="91">
        <v>40</v>
      </c>
      <c r="G34" s="92" t="s">
        <v>10</v>
      </c>
      <c r="H34" s="51"/>
      <c r="I34" s="93">
        <v>2.8</v>
      </c>
      <c r="J34" s="57"/>
      <c r="K34" s="78" t="s">
        <v>15</v>
      </c>
      <c r="L34" s="75" t="s">
        <v>1</v>
      </c>
      <c r="M34" s="52">
        <v>5</v>
      </c>
      <c r="N34" s="52">
        <v>0</v>
      </c>
      <c r="O34" s="54">
        <f>+M34*100</f>
        <v>500</v>
      </c>
      <c r="P34" s="55">
        <f>+I34</f>
        <v>2.8</v>
      </c>
      <c r="Q34" s="142">
        <f>+O34*P34+15</f>
        <v>1415</v>
      </c>
      <c r="R34" s="80">
        <f>IF(O34=0,0,-(F34*O34)*0.45)</f>
        <v>-9000</v>
      </c>
      <c r="S34" s="53" t="s">
        <v>27</v>
      </c>
      <c r="T34" s="56"/>
      <c r="U34" s="118">
        <f>IF(O34=0,0,-(O34*F34))</f>
        <v>-20000</v>
      </c>
      <c r="W34" s="256"/>
      <c r="X34" s="256"/>
      <c r="Y34" s="256"/>
      <c r="Z34" s="256"/>
      <c r="AA34" s="256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</row>
    <row r="35" spans="1:37" s="36" customFormat="1" ht="16" thickTop="1" x14ac:dyDescent="0.2">
      <c r="A35" s="37"/>
      <c r="B35" s="82" t="s">
        <v>7</v>
      </c>
      <c r="C35" s="83" t="s">
        <v>66</v>
      </c>
      <c r="D35" s="94">
        <v>31</v>
      </c>
      <c r="E35" s="92" t="s">
        <v>67</v>
      </c>
      <c r="F35" s="53"/>
      <c r="G35" s="53"/>
      <c r="H35" s="44">
        <v>-3.25</v>
      </c>
      <c r="I35" s="86"/>
      <c r="J35" s="50">
        <f>+F36-D35</f>
        <v>5</v>
      </c>
      <c r="K35" s="79" t="s">
        <v>16</v>
      </c>
      <c r="L35" s="76" t="s">
        <v>0</v>
      </c>
      <c r="M35" s="52">
        <v>10</v>
      </c>
      <c r="N35" s="52">
        <v>0</v>
      </c>
      <c r="O35" s="54">
        <f>+M35*100</f>
        <v>1000</v>
      </c>
      <c r="P35" s="55">
        <f>+H35</f>
        <v>-3.25</v>
      </c>
      <c r="Q35" s="55">
        <f>+O35*P35-15</f>
        <v>-3265</v>
      </c>
      <c r="R35" s="80">
        <f>+O35*J35</f>
        <v>5000</v>
      </c>
      <c r="S35" s="53" t="s">
        <v>11</v>
      </c>
      <c r="T35" s="56"/>
      <c r="U35" s="40">
        <f>+U33+U34+Q37</f>
        <v>-20550</v>
      </c>
      <c r="W35" s="256"/>
      <c r="X35" s="256"/>
      <c r="Y35" s="256"/>
      <c r="Z35" s="256"/>
      <c r="AA35" s="256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</row>
    <row r="36" spans="1:37" s="36" customFormat="1" ht="16" thickBot="1" x14ac:dyDescent="0.25">
      <c r="A36" s="37"/>
      <c r="B36" s="82" t="s">
        <v>0</v>
      </c>
      <c r="C36" s="81" t="s">
        <v>68</v>
      </c>
      <c r="D36" s="51"/>
      <c r="E36" s="51"/>
      <c r="F36" s="91">
        <v>36</v>
      </c>
      <c r="G36" s="92" t="s">
        <v>67</v>
      </c>
      <c r="H36" s="51"/>
      <c r="I36" s="93">
        <v>1.3</v>
      </c>
      <c r="J36" s="18"/>
      <c r="K36" s="78" t="s">
        <v>17</v>
      </c>
      <c r="L36" s="77" t="s">
        <v>0</v>
      </c>
      <c r="M36" s="52">
        <v>10</v>
      </c>
      <c r="N36" s="52">
        <v>0</v>
      </c>
      <c r="O36" s="54">
        <f>+M36*100</f>
        <v>1000</v>
      </c>
      <c r="P36" s="55">
        <f>+I36</f>
        <v>1.3</v>
      </c>
      <c r="Q36" s="143">
        <f>+O36*P36-15</f>
        <v>1285</v>
      </c>
      <c r="R36" s="80">
        <f>+R35+Q37</f>
        <v>4450</v>
      </c>
      <c r="S36" s="53" t="s">
        <v>28</v>
      </c>
      <c r="T36" s="56"/>
      <c r="U36" s="40"/>
      <c r="W36" s="256"/>
      <c r="X36" s="256"/>
      <c r="Y36" s="256"/>
      <c r="Z36" s="256"/>
      <c r="AA36" s="256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</row>
    <row r="37" spans="1:37" s="36" customFormat="1" ht="17" thickTop="1" thickBot="1" x14ac:dyDescent="0.25">
      <c r="A37" s="37"/>
      <c r="B37" s="73"/>
      <c r="C37" s="74"/>
      <c r="D37" s="64"/>
      <c r="E37" s="64"/>
      <c r="F37" s="64"/>
      <c r="G37" s="64"/>
      <c r="H37" s="144" t="s">
        <v>69</v>
      </c>
      <c r="I37" s="65">
        <f>+H35+I36+I33+I34</f>
        <v>0.84999999999999987</v>
      </c>
      <c r="J37" s="72"/>
      <c r="K37" s="62"/>
      <c r="L37" s="63"/>
      <c r="M37" s="67"/>
      <c r="N37" s="63"/>
      <c r="O37" s="64"/>
      <c r="P37" s="98" t="s">
        <v>70</v>
      </c>
      <c r="Q37" s="65">
        <f>SUM(Q33:Q36)</f>
        <v>-550</v>
      </c>
      <c r="R37" s="145">
        <f>+R36/-Q37</f>
        <v>8.0909090909090917</v>
      </c>
      <c r="S37" s="64" t="s">
        <v>71</v>
      </c>
      <c r="T37" s="66"/>
      <c r="U37" s="40"/>
      <c r="W37" s="256"/>
      <c r="X37" s="256"/>
      <c r="Y37" s="256"/>
      <c r="Z37" s="256"/>
      <c r="AA37" s="256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</row>
    <row r="38" spans="1:37" s="36" customFormat="1" ht="16" thickBot="1" x14ac:dyDescent="0.25">
      <c r="A38" s="37"/>
      <c r="B38" s="1"/>
      <c r="C38" s="37"/>
      <c r="N38" s="16"/>
      <c r="O38" s="39"/>
      <c r="P38" s="38"/>
      <c r="Q38" s="39"/>
      <c r="U38" s="40"/>
    </row>
    <row r="39" spans="1:37" s="36" customFormat="1" ht="16" thickBot="1" x14ac:dyDescent="0.25">
      <c r="A39" s="37"/>
      <c r="B39" s="87" t="s">
        <v>46</v>
      </c>
      <c r="C39" s="122"/>
      <c r="D39" s="123" t="s">
        <v>44</v>
      </c>
      <c r="E39" s="123"/>
      <c r="F39" s="124" t="s">
        <v>29</v>
      </c>
      <c r="G39" s="125">
        <v>58.24</v>
      </c>
      <c r="H39" s="123"/>
      <c r="I39" s="123"/>
      <c r="J39" s="126"/>
      <c r="K39" s="69"/>
      <c r="L39" s="47"/>
      <c r="M39" s="46" t="s">
        <v>48</v>
      </c>
      <c r="N39" s="90" t="s">
        <v>49</v>
      </c>
      <c r="O39" s="70"/>
      <c r="P39" s="71"/>
      <c r="Q39" s="134"/>
      <c r="R39" s="84">
        <f>+R42/R40</f>
        <v>-0.93490909090909091</v>
      </c>
      <c r="S39" s="47" t="s">
        <v>47</v>
      </c>
      <c r="T39" s="48"/>
      <c r="U39" s="40"/>
      <c r="W39" s="263"/>
      <c r="X39" s="256"/>
      <c r="Y39" s="256"/>
      <c r="Z39" s="256"/>
      <c r="AA39" s="256"/>
    </row>
    <row r="40" spans="1:37" s="36" customFormat="1" x14ac:dyDescent="0.2">
      <c r="A40" s="37"/>
      <c r="B40" s="13" t="s">
        <v>1</v>
      </c>
      <c r="C40" s="10" t="s">
        <v>4</v>
      </c>
      <c r="D40" s="49"/>
      <c r="E40" s="49"/>
      <c r="F40" s="42">
        <v>55</v>
      </c>
      <c r="G40" s="43" t="s">
        <v>41</v>
      </c>
      <c r="H40" s="51"/>
      <c r="I40" s="45">
        <v>6</v>
      </c>
      <c r="J40" s="20"/>
      <c r="K40" s="78" t="s">
        <v>17</v>
      </c>
      <c r="L40" s="75" t="s">
        <v>1</v>
      </c>
      <c r="M40" s="117">
        <v>10</v>
      </c>
      <c r="N40" s="108">
        <v>0</v>
      </c>
      <c r="O40" s="54">
        <f t="shared" ref="O40:O42" si="4">+M40*100</f>
        <v>1000</v>
      </c>
      <c r="P40" s="55">
        <f>+I40</f>
        <v>6</v>
      </c>
      <c r="Q40" s="135">
        <f>+O40*P40-15</f>
        <v>5985</v>
      </c>
      <c r="R40" s="80">
        <f>IF(O40=0,0,-(F40*O40)*0.25)</f>
        <v>-13750</v>
      </c>
      <c r="S40" s="53" t="s">
        <v>25</v>
      </c>
      <c r="T40" s="56"/>
      <c r="U40" s="40">
        <f>IF(O40=0,0,-(O40*F40))</f>
        <v>-55000</v>
      </c>
      <c r="W40" s="256"/>
      <c r="X40" s="256"/>
      <c r="Y40" s="256"/>
      <c r="Z40" s="256"/>
      <c r="AA40" s="256"/>
    </row>
    <row r="41" spans="1:37" s="36" customFormat="1" ht="16" thickBot="1" x14ac:dyDescent="0.25">
      <c r="A41" s="37"/>
      <c r="B41" s="12" t="s">
        <v>7</v>
      </c>
      <c r="C41" s="11" t="s">
        <v>3</v>
      </c>
      <c r="D41" s="41">
        <v>45</v>
      </c>
      <c r="E41" s="43" t="s">
        <v>41</v>
      </c>
      <c r="F41" s="51"/>
      <c r="G41" s="51"/>
      <c r="H41" s="44">
        <v>-15.4</v>
      </c>
      <c r="I41" s="51">
        <v>9</v>
      </c>
      <c r="J41" s="19">
        <f>+F42-D41</f>
        <v>15</v>
      </c>
      <c r="K41" s="79" t="s">
        <v>23</v>
      </c>
      <c r="L41" s="76" t="s">
        <v>0</v>
      </c>
      <c r="M41" s="117">
        <v>10</v>
      </c>
      <c r="N41" s="109">
        <v>0</v>
      </c>
      <c r="O41" s="54">
        <f t="shared" si="4"/>
        <v>1000</v>
      </c>
      <c r="P41" s="55">
        <f>+H41</f>
        <v>-15.4</v>
      </c>
      <c r="Q41" s="135">
        <f>+O41*P41-15</f>
        <v>-15415</v>
      </c>
      <c r="R41" s="80">
        <f>+O41*J41</f>
        <v>15000</v>
      </c>
      <c r="S41" s="53" t="s">
        <v>11</v>
      </c>
      <c r="T41" s="56"/>
      <c r="U41" s="118">
        <f>IF(O41=0,0,-(O41*F41))</f>
        <v>0</v>
      </c>
      <c r="W41" s="256"/>
      <c r="X41" s="256"/>
      <c r="Y41" s="256"/>
      <c r="Z41" s="256"/>
      <c r="AA41" s="256"/>
    </row>
    <row r="42" spans="1:37" s="36" customFormat="1" ht="17" thickTop="1" thickBot="1" x14ac:dyDescent="0.25">
      <c r="A42" s="9"/>
      <c r="B42" s="12" t="s">
        <v>0</v>
      </c>
      <c r="C42" s="10" t="s">
        <v>4</v>
      </c>
      <c r="D42" s="51"/>
      <c r="E42" s="51"/>
      <c r="F42" s="42">
        <v>60</v>
      </c>
      <c r="G42" s="43" t="s">
        <v>41</v>
      </c>
      <c r="H42" s="51"/>
      <c r="I42" s="45">
        <v>7.3</v>
      </c>
      <c r="J42" s="51"/>
      <c r="K42" s="78" t="s">
        <v>24</v>
      </c>
      <c r="L42" s="77" t="s">
        <v>0</v>
      </c>
      <c r="M42" s="117">
        <v>10</v>
      </c>
      <c r="N42" s="110">
        <v>0</v>
      </c>
      <c r="O42" s="54">
        <f t="shared" si="4"/>
        <v>1000</v>
      </c>
      <c r="P42" s="55">
        <f>+I42</f>
        <v>7.3</v>
      </c>
      <c r="Q42" s="136">
        <f>+O42*P42-15</f>
        <v>7285</v>
      </c>
      <c r="R42" s="80">
        <f>+(R41+Q43)</f>
        <v>12855</v>
      </c>
      <c r="S42" s="53" t="s">
        <v>12</v>
      </c>
      <c r="T42" s="56"/>
      <c r="U42" s="40">
        <f>+U40+U41+Q43</f>
        <v>-57145</v>
      </c>
      <c r="W42" s="256"/>
      <c r="X42" s="256"/>
      <c r="Y42" s="256"/>
      <c r="Z42" s="256"/>
      <c r="AA42" s="256"/>
    </row>
    <row r="43" spans="1:37" s="36" customFormat="1" ht="17" thickTop="1" thickBot="1" x14ac:dyDescent="0.25">
      <c r="A43" s="37"/>
      <c r="B43" s="58"/>
      <c r="C43" s="59"/>
      <c r="D43" s="60"/>
      <c r="E43" s="60"/>
      <c r="F43" s="60"/>
      <c r="G43" s="60"/>
      <c r="H43" s="21" t="s">
        <v>14</v>
      </c>
      <c r="I43" s="22">
        <f>+H41+I42+I40</f>
        <v>-2.1000000000000014</v>
      </c>
      <c r="J43" s="61"/>
      <c r="K43" s="62"/>
      <c r="L43" s="63"/>
      <c r="M43" s="67"/>
      <c r="N43" s="85"/>
      <c r="O43" s="64"/>
      <c r="P43" s="98" t="s">
        <v>54</v>
      </c>
      <c r="Q43" s="137">
        <f>SUM(Q40:Q42)</f>
        <v>-2145</v>
      </c>
      <c r="R43" s="119">
        <f>IF(Q43&gt;0,"Infinity",-(R42/Q43))</f>
        <v>5.9930069930069934</v>
      </c>
      <c r="S43" s="64" t="s">
        <v>55</v>
      </c>
      <c r="T43" s="66"/>
      <c r="U43" s="40"/>
      <c r="W43" s="256"/>
      <c r="X43" s="256"/>
      <c r="Y43" s="256"/>
      <c r="Z43" s="256"/>
      <c r="AA43" s="256"/>
    </row>
    <row r="44" spans="1:37" s="36" customFormat="1" ht="16" thickBot="1" x14ac:dyDescent="0.25">
      <c r="A44" s="37"/>
      <c r="B44" s="87" t="s">
        <v>45</v>
      </c>
      <c r="C44" s="122"/>
      <c r="D44" s="123" t="s">
        <v>44</v>
      </c>
      <c r="E44" s="123"/>
      <c r="F44" s="124" t="s">
        <v>29</v>
      </c>
      <c r="G44" s="125">
        <v>58.24</v>
      </c>
      <c r="H44" s="123"/>
      <c r="I44" s="123"/>
      <c r="J44" s="126"/>
      <c r="K44" s="69"/>
      <c r="L44" s="47"/>
      <c r="M44" s="46" t="s">
        <v>48</v>
      </c>
      <c r="N44" s="90" t="s">
        <v>49</v>
      </c>
      <c r="O44" s="70"/>
      <c r="P44" s="71"/>
      <c r="Q44" s="134"/>
      <c r="R44" s="84">
        <f>+R47/R45</f>
        <v>-0.81490909090909092</v>
      </c>
      <c r="S44" s="47" t="s">
        <v>47</v>
      </c>
      <c r="T44" s="48"/>
      <c r="U44" s="40"/>
      <c r="W44" s="256"/>
      <c r="X44" s="256"/>
      <c r="Y44" s="256"/>
      <c r="Z44" s="256"/>
      <c r="AA44" s="256"/>
    </row>
    <row r="45" spans="1:37" s="36" customFormat="1" x14ac:dyDescent="0.2">
      <c r="A45" s="37"/>
      <c r="B45" s="13" t="s">
        <v>1</v>
      </c>
      <c r="C45" s="10" t="s">
        <v>4</v>
      </c>
      <c r="D45" s="49"/>
      <c r="E45" s="49"/>
      <c r="F45" s="42">
        <v>55</v>
      </c>
      <c r="G45" s="43" t="s">
        <v>41</v>
      </c>
      <c r="H45" s="51"/>
      <c r="I45" s="45">
        <v>6.25</v>
      </c>
      <c r="J45" s="20"/>
      <c r="K45" s="78" t="s">
        <v>17</v>
      </c>
      <c r="L45" s="75" t="s">
        <v>1</v>
      </c>
      <c r="M45" s="117">
        <v>10</v>
      </c>
      <c r="N45" s="111">
        <v>10</v>
      </c>
      <c r="O45" s="54">
        <f t="shared" ref="O45:O47" si="5">+M45*100</f>
        <v>1000</v>
      </c>
      <c r="P45" s="55">
        <f>+I45</f>
        <v>6.25</v>
      </c>
      <c r="Q45" s="135">
        <f>+O45*P45-15</f>
        <v>6235</v>
      </c>
      <c r="R45" s="80">
        <f>IF(O45=0,0,-(F45*O45)*0.25)</f>
        <v>-13750</v>
      </c>
      <c r="S45" s="53" t="s">
        <v>25</v>
      </c>
      <c r="T45" s="56"/>
      <c r="U45" s="40">
        <f>IF(O45=0,0,-(O45*F45))</f>
        <v>-55000</v>
      </c>
    </row>
    <row r="46" spans="1:37" s="36" customFormat="1" ht="16" thickBot="1" x14ac:dyDescent="0.25">
      <c r="A46" s="37"/>
      <c r="B46" s="12" t="s">
        <v>7</v>
      </c>
      <c r="C46" s="11" t="s">
        <v>3</v>
      </c>
      <c r="D46" s="41">
        <v>45</v>
      </c>
      <c r="E46" s="43" t="s">
        <v>10</v>
      </c>
      <c r="F46" s="51"/>
      <c r="G46" s="51"/>
      <c r="H46" s="44">
        <v>-15.5</v>
      </c>
      <c r="I46" s="51">
        <v>9</v>
      </c>
      <c r="J46" s="19">
        <f>+F47-D46</f>
        <v>12.5</v>
      </c>
      <c r="K46" s="79" t="s">
        <v>23</v>
      </c>
      <c r="L46" s="76" t="s">
        <v>0</v>
      </c>
      <c r="M46" s="117">
        <v>10</v>
      </c>
      <c r="N46" s="112">
        <v>10</v>
      </c>
      <c r="O46" s="54">
        <f t="shared" si="5"/>
        <v>1000</v>
      </c>
      <c r="P46" s="55">
        <f>+H46</f>
        <v>-15.5</v>
      </c>
      <c r="Q46" s="135">
        <f>+O46*P46-15</f>
        <v>-15515</v>
      </c>
      <c r="R46" s="80">
        <f>+O46*J46</f>
        <v>12500</v>
      </c>
      <c r="S46" s="53" t="s">
        <v>11</v>
      </c>
      <c r="T46" s="56"/>
      <c r="U46" s="118">
        <f>IF(O46=0,0,-(O46*F46))</f>
        <v>0</v>
      </c>
    </row>
    <row r="47" spans="1:37" s="36" customFormat="1" ht="17" thickTop="1" thickBot="1" x14ac:dyDescent="0.25">
      <c r="A47" s="9"/>
      <c r="B47" s="12" t="s">
        <v>0</v>
      </c>
      <c r="C47" s="10" t="s">
        <v>4</v>
      </c>
      <c r="D47" s="51"/>
      <c r="E47" s="51"/>
      <c r="F47" s="42">
        <v>57.5</v>
      </c>
      <c r="G47" s="43" t="s">
        <v>41</v>
      </c>
      <c r="H47" s="51"/>
      <c r="I47" s="45">
        <v>8</v>
      </c>
      <c r="J47" s="51"/>
      <c r="K47" s="78" t="s">
        <v>24</v>
      </c>
      <c r="L47" s="77" t="s">
        <v>0</v>
      </c>
      <c r="M47" s="117">
        <v>10</v>
      </c>
      <c r="N47" s="113">
        <v>0</v>
      </c>
      <c r="O47" s="54">
        <f t="shared" si="5"/>
        <v>1000</v>
      </c>
      <c r="P47" s="55">
        <f>+I47</f>
        <v>8</v>
      </c>
      <c r="Q47" s="136">
        <f>+O47*P47-15</f>
        <v>7985</v>
      </c>
      <c r="R47" s="80">
        <f>+(R46+Q48)</f>
        <v>11205</v>
      </c>
      <c r="S47" s="53" t="s">
        <v>12</v>
      </c>
      <c r="T47" s="56"/>
      <c r="U47" s="40">
        <f>+U45+U46+Q48</f>
        <v>-56295</v>
      </c>
    </row>
    <row r="48" spans="1:37" s="36" customFormat="1" ht="17" thickTop="1" thickBot="1" x14ac:dyDescent="0.25">
      <c r="A48" s="37"/>
      <c r="B48" s="58"/>
      <c r="C48" s="59"/>
      <c r="D48" s="60"/>
      <c r="E48" s="60"/>
      <c r="F48" s="60"/>
      <c r="G48" s="60"/>
      <c r="H48" s="21" t="s">
        <v>14</v>
      </c>
      <c r="I48" s="22">
        <f>+H46+I47+I45</f>
        <v>-1.25</v>
      </c>
      <c r="J48" s="61"/>
      <c r="K48" s="62"/>
      <c r="L48" s="63"/>
      <c r="M48" s="67"/>
      <c r="N48" s="85"/>
      <c r="O48" s="64"/>
      <c r="P48" s="98" t="s">
        <v>54</v>
      </c>
      <c r="Q48" s="137">
        <f>SUM(Q45:Q47)</f>
        <v>-1295</v>
      </c>
      <c r="R48" s="119">
        <f>IF(Q48&gt;0,"Infinity",-(R47/Q48))</f>
        <v>8.6525096525096519</v>
      </c>
      <c r="S48" s="64" t="s">
        <v>55</v>
      </c>
      <c r="T48" s="66"/>
      <c r="U48" s="40"/>
    </row>
    <row r="49" spans="1:27" ht="16" thickBot="1" x14ac:dyDescent="0.25">
      <c r="B49" s="1"/>
      <c r="C49" s="7"/>
      <c r="G49" s="5"/>
      <c r="H49" s="6"/>
    </row>
    <row r="50" spans="1:27" s="36" customFormat="1" ht="16" thickBot="1" x14ac:dyDescent="0.25">
      <c r="A50" s="37"/>
      <c r="B50" s="87" t="s">
        <v>57</v>
      </c>
      <c r="C50" s="99"/>
      <c r="D50" s="100" t="s">
        <v>43</v>
      </c>
      <c r="E50" s="100"/>
      <c r="F50" s="139" t="s">
        <v>59</v>
      </c>
      <c r="G50" s="102">
        <v>117.7</v>
      </c>
      <c r="H50" s="104" t="s">
        <v>32</v>
      </c>
      <c r="I50" s="100"/>
      <c r="J50" s="103"/>
      <c r="K50" s="69"/>
      <c r="L50" s="47"/>
      <c r="M50" s="46" t="s">
        <v>48</v>
      </c>
      <c r="N50" s="90" t="s">
        <v>49</v>
      </c>
      <c r="O50" s="70"/>
      <c r="P50" s="71"/>
      <c r="Q50" s="129"/>
      <c r="R50" s="35" t="e">
        <f>IF((O51+O52)=0,0,+R54/-(R51+R52))</f>
        <v>#DIV/0!</v>
      </c>
      <c r="S50" s="257" t="s">
        <v>26</v>
      </c>
      <c r="T50" s="258"/>
      <c r="U50" s="40"/>
      <c r="W50" s="263"/>
      <c r="X50" s="256"/>
      <c r="Y50" s="256"/>
      <c r="Z50" s="256"/>
      <c r="AA50" s="256"/>
    </row>
    <row r="51" spans="1:27" s="36" customFormat="1" x14ac:dyDescent="0.2">
      <c r="A51" s="37"/>
      <c r="B51" s="34" t="s">
        <v>1</v>
      </c>
      <c r="C51" s="81" t="s">
        <v>4</v>
      </c>
      <c r="D51" s="49"/>
      <c r="E51" s="49"/>
      <c r="F51" s="91"/>
      <c r="G51" s="92"/>
      <c r="H51" s="51"/>
      <c r="I51" s="93"/>
      <c r="J51" s="57"/>
      <c r="K51" s="78" t="s">
        <v>15</v>
      </c>
      <c r="L51" s="75" t="s">
        <v>1</v>
      </c>
      <c r="M51" s="68">
        <v>10</v>
      </c>
      <c r="N51" s="105">
        <v>0</v>
      </c>
      <c r="O51" s="54">
        <f t="shared" ref="O51:O54" si="6">+M51*100</f>
        <v>1000</v>
      </c>
      <c r="P51" s="55">
        <f>+I51</f>
        <v>0</v>
      </c>
      <c r="Q51" s="130">
        <v>0</v>
      </c>
      <c r="R51" s="80">
        <f>IF(O51=0,0,-(F51*O51)*0.25)</f>
        <v>0</v>
      </c>
      <c r="S51" s="53" t="s">
        <v>27</v>
      </c>
      <c r="T51" s="56"/>
      <c r="U51" s="40">
        <f>IF(O51=0,0,-(O51*F51))</f>
        <v>0</v>
      </c>
      <c r="W51" s="256"/>
      <c r="X51" s="256"/>
      <c r="Y51" s="256"/>
      <c r="Z51" s="256"/>
      <c r="AA51" s="256"/>
    </row>
    <row r="52" spans="1:27" s="36" customFormat="1" ht="16" thickBot="1" x14ac:dyDescent="0.25">
      <c r="A52" s="37"/>
      <c r="B52" s="34" t="s">
        <v>1</v>
      </c>
      <c r="C52" s="81" t="s">
        <v>4</v>
      </c>
      <c r="D52" s="49"/>
      <c r="E52" s="17"/>
      <c r="F52" s="91"/>
      <c r="G52" s="92" t="s">
        <v>41</v>
      </c>
      <c r="H52" s="51"/>
      <c r="I52" s="93"/>
      <c r="J52" s="57"/>
      <c r="K52" s="78" t="s">
        <v>15</v>
      </c>
      <c r="L52" s="75" t="s">
        <v>1</v>
      </c>
      <c r="M52" s="68">
        <v>10</v>
      </c>
      <c r="N52" s="106">
        <v>0</v>
      </c>
      <c r="O52" s="54">
        <f t="shared" si="6"/>
        <v>1000</v>
      </c>
      <c r="P52" s="55">
        <f>+I52</f>
        <v>0</v>
      </c>
      <c r="Q52" s="130">
        <f>+O52*P52-15</f>
        <v>-15</v>
      </c>
      <c r="R52" s="80">
        <f>IF(O52=0,0,-(F52*O52)*0.25)</f>
        <v>0</v>
      </c>
      <c r="S52" s="53" t="s">
        <v>27</v>
      </c>
      <c r="T52" s="56"/>
      <c r="U52" s="118">
        <f>IF(O52=0,0,-(O52*F52))</f>
        <v>0</v>
      </c>
      <c r="W52" s="256"/>
      <c r="X52" s="256"/>
      <c r="Y52" s="256"/>
      <c r="Z52" s="256"/>
      <c r="AA52" s="256"/>
    </row>
    <row r="53" spans="1:27" s="36" customFormat="1" ht="16" thickTop="1" x14ac:dyDescent="0.2">
      <c r="A53" s="37"/>
      <c r="B53" s="82" t="s">
        <v>7</v>
      </c>
      <c r="C53" s="83" t="s">
        <v>3</v>
      </c>
      <c r="D53" s="94"/>
      <c r="E53" s="92" t="s">
        <v>41</v>
      </c>
      <c r="F53" s="53"/>
      <c r="G53" s="53"/>
      <c r="H53" s="44"/>
      <c r="I53" s="86"/>
      <c r="J53" s="50">
        <f>+F54-D53</f>
        <v>0</v>
      </c>
      <c r="K53" s="79" t="s">
        <v>16</v>
      </c>
      <c r="L53" s="76" t="s">
        <v>0</v>
      </c>
      <c r="M53" s="68">
        <v>10</v>
      </c>
      <c r="N53" s="106">
        <v>0</v>
      </c>
      <c r="O53" s="54">
        <f t="shared" si="6"/>
        <v>1000</v>
      </c>
      <c r="P53" s="55">
        <f>+H53</f>
        <v>0</v>
      </c>
      <c r="Q53" s="131">
        <f>+O53*P53-15</f>
        <v>-15</v>
      </c>
      <c r="R53" s="80">
        <f>+O53*J53</f>
        <v>0</v>
      </c>
      <c r="S53" s="53" t="s">
        <v>11</v>
      </c>
      <c r="T53" s="56"/>
      <c r="U53" s="40">
        <f>+U51+U52+Q55</f>
        <v>-45</v>
      </c>
      <c r="W53" s="256"/>
      <c r="X53" s="256"/>
      <c r="Y53" s="256"/>
      <c r="Z53" s="256"/>
      <c r="AA53" s="256"/>
    </row>
    <row r="54" spans="1:27" s="36" customFormat="1" ht="16" thickBot="1" x14ac:dyDescent="0.25">
      <c r="A54" s="37"/>
      <c r="B54" s="82" t="s">
        <v>0</v>
      </c>
      <c r="C54" s="81" t="s">
        <v>4</v>
      </c>
      <c r="D54" s="51"/>
      <c r="E54" s="51"/>
      <c r="F54" s="91"/>
      <c r="G54" s="92" t="s">
        <v>41</v>
      </c>
      <c r="H54" s="51"/>
      <c r="I54" s="93"/>
      <c r="J54" s="18"/>
      <c r="K54" s="78" t="s">
        <v>17</v>
      </c>
      <c r="L54" s="77" t="s">
        <v>0</v>
      </c>
      <c r="M54" s="68">
        <v>10</v>
      </c>
      <c r="N54" s="107">
        <v>0</v>
      </c>
      <c r="O54" s="54">
        <f t="shared" si="6"/>
        <v>1000</v>
      </c>
      <c r="P54" s="55">
        <f>+I54</f>
        <v>0</v>
      </c>
      <c r="Q54" s="132">
        <f>+O54*P54-15</f>
        <v>-15</v>
      </c>
      <c r="R54" s="80">
        <f>+R53+Q55</f>
        <v>-45</v>
      </c>
      <c r="S54" s="53" t="s">
        <v>28</v>
      </c>
      <c r="T54" s="56"/>
      <c r="U54" s="40"/>
      <c r="W54" s="256"/>
      <c r="X54" s="256"/>
      <c r="Y54" s="256"/>
      <c r="Z54" s="256"/>
      <c r="AA54" s="256"/>
    </row>
    <row r="55" spans="1:27" s="36" customFormat="1" ht="17" thickTop="1" thickBot="1" x14ac:dyDescent="0.25">
      <c r="A55" s="37"/>
      <c r="B55" s="73"/>
      <c r="C55" s="74"/>
      <c r="D55" s="64"/>
      <c r="E55" s="64"/>
      <c r="F55" s="64"/>
      <c r="G55" s="64"/>
      <c r="H55" s="21" t="s">
        <v>14</v>
      </c>
      <c r="I55" s="65">
        <f>+H53+I54+I51+I52</f>
        <v>0</v>
      </c>
      <c r="J55" s="72"/>
      <c r="K55" s="62"/>
      <c r="L55" s="63"/>
      <c r="M55" s="67"/>
      <c r="N55" s="63"/>
      <c r="O55" s="64"/>
      <c r="P55" s="98" t="s">
        <v>54</v>
      </c>
      <c r="Q55" s="133">
        <f>SUM(Q51:Q54)</f>
        <v>-45</v>
      </c>
      <c r="R55" s="119">
        <f>IF(Q55&gt;0,"Infinity",-(R54/Q55))</f>
        <v>-1</v>
      </c>
      <c r="S55" s="64" t="s">
        <v>55</v>
      </c>
      <c r="T55" s="66"/>
      <c r="U55" s="40"/>
      <c r="W55" s="256"/>
      <c r="X55" s="256"/>
      <c r="Y55" s="256"/>
      <c r="Z55" s="256"/>
      <c r="AA55" s="256"/>
    </row>
    <row r="56" spans="1:27" s="36" customFormat="1" ht="16" thickBot="1" x14ac:dyDescent="0.25">
      <c r="A56" s="37"/>
      <c r="B56" s="87" t="s">
        <v>58</v>
      </c>
      <c r="C56" s="99"/>
      <c r="D56" s="100" t="s">
        <v>43</v>
      </c>
      <c r="E56" s="100"/>
      <c r="F56" s="139" t="s">
        <v>59</v>
      </c>
      <c r="G56" s="102">
        <v>117.7</v>
      </c>
      <c r="H56" s="104" t="s">
        <v>32</v>
      </c>
      <c r="I56" s="100"/>
      <c r="J56" s="103"/>
      <c r="K56" s="69"/>
      <c r="L56" s="47"/>
      <c r="M56" s="46" t="s">
        <v>48</v>
      </c>
      <c r="N56" s="90" t="s">
        <v>49</v>
      </c>
      <c r="O56" s="70"/>
      <c r="P56" s="71"/>
      <c r="Q56" s="129"/>
      <c r="R56" s="35" t="e">
        <f>IF((O57+O58)=0,0,+R60/-(R57+R58))</f>
        <v>#DIV/0!</v>
      </c>
      <c r="S56" s="257" t="s">
        <v>26</v>
      </c>
      <c r="T56" s="258"/>
      <c r="U56" s="40"/>
      <c r="W56" s="263"/>
      <c r="X56" s="256"/>
      <c r="Y56" s="256"/>
      <c r="Z56" s="256"/>
      <c r="AA56" s="256"/>
    </row>
    <row r="57" spans="1:27" s="36" customFormat="1" x14ac:dyDescent="0.2">
      <c r="A57" s="37"/>
      <c r="B57" s="34" t="s">
        <v>1</v>
      </c>
      <c r="C57" s="81" t="s">
        <v>4</v>
      </c>
      <c r="D57" s="49"/>
      <c r="E57" s="49"/>
      <c r="F57" s="91"/>
      <c r="G57" s="92"/>
      <c r="H57" s="51"/>
      <c r="I57" s="93"/>
      <c r="J57" s="57"/>
      <c r="K57" s="78" t="s">
        <v>15</v>
      </c>
      <c r="L57" s="75" t="s">
        <v>1</v>
      </c>
      <c r="M57" s="68">
        <v>10</v>
      </c>
      <c r="N57" s="105">
        <v>0</v>
      </c>
      <c r="O57" s="54">
        <f t="shared" ref="O57:O60" si="7">+M57*100</f>
        <v>1000</v>
      </c>
      <c r="P57" s="55">
        <f>+I57</f>
        <v>0</v>
      </c>
      <c r="Q57" s="130">
        <v>0</v>
      </c>
      <c r="R57" s="80">
        <f>IF(O57=0,0,-(F57*O57)*0.25)</f>
        <v>0</v>
      </c>
      <c r="S57" s="53" t="s">
        <v>27</v>
      </c>
      <c r="T57" s="56"/>
      <c r="U57" s="40">
        <f>IF(O57=0,0,-(O57*F57))</f>
        <v>0</v>
      </c>
      <c r="W57" s="256"/>
      <c r="X57" s="256"/>
      <c r="Y57" s="256"/>
      <c r="Z57" s="256"/>
      <c r="AA57" s="256"/>
    </row>
    <row r="58" spans="1:27" s="36" customFormat="1" ht="16" thickBot="1" x14ac:dyDescent="0.25">
      <c r="A58" s="37"/>
      <c r="B58" s="34" t="s">
        <v>1</v>
      </c>
      <c r="C58" s="81" t="s">
        <v>4</v>
      </c>
      <c r="D58" s="49"/>
      <c r="E58" s="17"/>
      <c r="F58" s="91"/>
      <c r="G58" s="92" t="s">
        <v>41</v>
      </c>
      <c r="H58" s="51"/>
      <c r="I58" s="93"/>
      <c r="J58" s="57"/>
      <c r="K58" s="78" t="s">
        <v>15</v>
      </c>
      <c r="L58" s="75" t="s">
        <v>1</v>
      </c>
      <c r="M58" s="68">
        <v>10</v>
      </c>
      <c r="N58" s="106">
        <v>0</v>
      </c>
      <c r="O58" s="54">
        <f t="shared" si="7"/>
        <v>1000</v>
      </c>
      <c r="P58" s="55">
        <f>+I58</f>
        <v>0</v>
      </c>
      <c r="Q58" s="130">
        <f>+O58*P58-15</f>
        <v>-15</v>
      </c>
      <c r="R58" s="80">
        <f>IF(O58=0,0,-(F58*O58)*0.25)</f>
        <v>0</v>
      </c>
      <c r="S58" s="53" t="s">
        <v>27</v>
      </c>
      <c r="T58" s="56"/>
      <c r="U58" s="118">
        <f>IF(O58=0,0,-(O58*F58))</f>
        <v>0</v>
      </c>
      <c r="W58" s="256"/>
      <c r="X58" s="256"/>
      <c r="Y58" s="256"/>
      <c r="Z58" s="256"/>
      <c r="AA58" s="256"/>
    </row>
    <row r="59" spans="1:27" s="36" customFormat="1" ht="16" thickTop="1" x14ac:dyDescent="0.2">
      <c r="A59" s="37"/>
      <c r="B59" s="82" t="s">
        <v>7</v>
      </c>
      <c r="C59" s="83" t="s">
        <v>3</v>
      </c>
      <c r="D59" s="94"/>
      <c r="E59" s="92" t="s">
        <v>41</v>
      </c>
      <c r="F59" s="53"/>
      <c r="G59" s="53"/>
      <c r="H59" s="44"/>
      <c r="I59" s="86"/>
      <c r="J59" s="50">
        <f>+F60-D59</f>
        <v>0</v>
      </c>
      <c r="K59" s="79" t="s">
        <v>16</v>
      </c>
      <c r="L59" s="76" t="s">
        <v>0</v>
      </c>
      <c r="M59" s="68">
        <v>10</v>
      </c>
      <c r="N59" s="106">
        <v>0</v>
      </c>
      <c r="O59" s="54">
        <f t="shared" si="7"/>
        <v>1000</v>
      </c>
      <c r="P59" s="55">
        <f>+H59</f>
        <v>0</v>
      </c>
      <c r="Q59" s="131">
        <f>+O59*P59-15</f>
        <v>-15</v>
      </c>
      <c r="R59" s="80">
        <f>+O59*J59</f>
        <v>0</v>
      </c>
      <c r="S59" s="53" t="s">
        <v>11</v>
      </c>
      <c r="T59" s="56"/>
      <c r="U59" s="40">
        <f>+U57+U58+Q61</f>
        <v>-45</v>
      </c>
      <c r="W59" s="256"/>
      <c r="X59" s="256"/>
      <c r="Y59" s="256"/>
      <c r="Z59" s="256"/>
      <c r="AA59" s="256"/>
    </row>
    <row r="60" spans="1:27" s="36" customFormat="1" ht="16" thickBot="1" x14ac:dyDescent="0.25">
      <c r="A60" s="37"/>
      <c r="B60" s="82" t="s">
        <v>0</v>
      </c>
      <c r="C60" s="81" t="s">
        <v>4</v>
      </c>
      <c r="D60" s="51"/>
      <c r="E60" s="51"/>
      <c r="F60" s="91"/>
      <c r="G60" s="92" t="s">
        <v>41</v>
      </c>
      <c r="H60" s="51"/>
      <c r="I60" s="93"/>
      <c r="J60" s="18"/>
      <c r="K60" s="78" t="s">
        <v>17</v>
      </c>
      <c r="L60" s="77" t="s">
        <v>0</v>
      </c>
      <c r="M60" s="68">
        <v>10</v>
      </c>
      <c r="N60" s="107">
        <v>0</v>
      </c>
      <c r="O60" s="54">
        <f t="shared" si="7"/>
        <v>1000</v>
      </c>
      <c r="P60" s="55">
        <f>+I60</f>
        <v>0</v>
      </c>
      <c r="Q60" s="132">
        <f>+O60*P60-15</f>
        <v>-15</v>
      </c>
      <c r="R60" s="80">
        <f>+R59+Q61</f>
        <v>-45</v>
      </c>
      <c r="S60" s="53" t="s">
        <v>28</v>
      </c>
      <c r="T60" s="56"/>
      <c r="U60" s="40"/>
      <c r="W60" s="256"/>
      <c r="X60" s="256"/>
      <c r="Y60" s="256"/>
      <c r="Z60" s="256"/>
      <c r="AA60" s="256"/>
    </row>
    <row r="61" spans="1:27" s="36" customFormat="1" ht="17" thickTop="1" thickBot="1" x14ac:dyDescent="0.25">
      <c r="A61" s="37"/>
      <c r="B61" s="73"/>
      <c r="C61" s="74"/>
      <c r="D61" s="64"/>
      <c r="E61" s="64"/>
      <c r="F61" s="64"/>
      <c r="G61" s="64"/>
      <c r="H61" s="21" t="s">
        <v>14</v>
      </c>
      <c r="I61" s="65">
        <f>+H59+I60+I57+I58</f>
        <v>0</v>
      </c>
      <c r="J61" s="72"/>
      <c r="K61" s="62"/>
      <c r="L61" s="63"/>
      <c r="M61" s="67"/>
      <c r="N61" s="63"/>
      <c r="O61" s="64"/>
      <c r="P61" s="98" t="s">
        <v>54</v>
      </c>
      <c r="Q61" s="133">
        <f>SUM(Q57:Q60)</f>
        <v>-45</v>
      </c>
      <c r="R61" s="119">
        <f>IF(Q61&gt;0,"Infinity",-(R60/Q61))</f>
        <v>-1</v>
      </c>
      <c r="S61" s="64" t="s">
        <v>55</v>
      </c>
      <c r="T61" s="66"/>
      <c r="U61" s="40"/>
      <c r="W61" s="256"/>
      <c r="X61" s="256"/>
      <c r="Y61" s="256"/>
      <c r="Z61" s="256"/>
      <c r="AA61" s="256"/>
    </row>
    <row r="62" spans="1:27" x14ac:dyDescent="0.2">
      <c r="O62" s="8"/>
    </row>
    <row r="63" spans="1:27" x14ac:dyDescent="0.2">
      <c r="O63" s="8"/>
    </row>
    <row r="64" spans="1:27" x14ac:dyDescent="0.2">
      <c r="O64" s="8"/>
    </row>
    <row r="65" spans="15:15" x14ac:dyDescent="0.2">
      <c r="O65" s="8"/>
    </row>
    <row r="66" spans="15:15" x14ac:dyDescent="0.2">
      <c r="O66" s="8"/>
    </row>
    <row r="67" spans="15:15" x14ac:dyDescent="0.2">
      <c r="O67" s="8"/>
    </row>
    <row r="68" spans="15:15" x14ac:dyDescent="0.2">
      <c r="O68" s="8"/>
    </row>
    <row r="69" spans="15:15" x14ac:dyDescent="0.2">
      <c r="O69" s="8"/>
    </row>
    <row r="70" spans="15:15" x14ac:dyDescent="0.2">
      <c r="O70" s="8"/>
    </row>
    <row r="71" spans="15:15" x14ac:dyDescent="0.2">
      <c r="O71" s="8"/>
    </row>
    <row r="72" spans="15:15" x14ac:dyDescent="0.2">
      <c r="O72" s="8"/>
    </row>
    <row r="73" spans="15:15" x14ac:dyDescent="0.2">
      <c r="O73" s="8"/>
    </row>
    <row r="74" spans="15:15" x14ac:dyDescent="0.2">
      <c r="O74" s="8"/>
    </row>
    <row r="75" spans="15:15" x14ac:dyDescent="0.2">
      <c r="O75" s="8"/>
    </row>
    <row r="76" spans="15:15" x14ac:dyDescent="0.2">
      <c r="O76" s="8"/>
    </row>
    <row r="77" spans="15:15" x14ac:dyDescent="0.2">
      <c r="O77" s="8"/>
    </row>
    <row r="78" spans="15:15" x14ac:dyDescent="0.2">
      <c r="O78" s="8"/>
    </row>
    <row r="79" spans="15:15" x14ac:dyDescent="0.2">
      <c r="O79" s="8"/>
    </row>
    <row r="80" spans="15:15" x14ac:dyDescent="0.2">
      <c r="O80" s="8"/>
    </row>
    <row r="81" spans="15:15" x14ac:dyDescent="0.2">
      <c r="O81" s="8"/>
    </row>
    <row r="82" spans="15:15" x14ac:dyDescent="0.2">
      <c r="O82" s="8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  <row r="93" spans="15:15" x14ac:dyDescent="0.2">
      <c r="O93" s="8"/>
    </row>
    <row r="94" spans="15:15" x14ac:dyDescent="0.2">
      <c r="O94" s="8"/>
    </row>
    <row r="95" spans="15:15" x14ac:dyDescent="0.2">
      <c r="O95" s="8"/>
    </row>
    <row r="96" spans="15:15" x14ac:dyDescent="0.2">
      <c r="O96" s="8"/>
    </row>
    <row r="97" spans="15:15" x14ac:dyDescent="0.2">
      <c r="O97" s="8"/>
    </row>
    <row r="98" spans="15:15" x14ac:dyDescent="0.2">
      <c r="O98" s="8"/>
    </row>
    <row r="99" spans="15:15" x14ac:dyDescent="0.2">
      <c r="O99" s="8"/>
    </row>
    <row r="100" spans="15:15" x14ac:dyDescent="0.2">
      <c r="O100" s="8"/>
    </row>
    <row r="101" spans="15:15" x14ac:dyDescent="0.2">
      <c r="O101" s="8"/>
    </row>
    <row r="102" spans="15:15" x14ac:dyDescent="0.2">
      <c r="O102" s="8"/>
    </row>
    <row r="103" spans="15:15" x14ac:dyDescent="0.2">
      <c r="O103" s="8"/>
    </row>
    <row r="104" spans="15:15" x14ac:dyDescent="0.2">
      <c r="O104" s="8"/>
    </row>
    <row r="105" spans="15:15" x14ac:dyDescent="0.2">
      <c r="O105" s="8"/>
    </row>
    <row r="106" spans="15:15" x14ac:dyDescent="0.2">
      <c r="O106" s="8"/>
    </row>
    <row r="107" spans="15:15" x14ac:dyDescent="0.2">
      <c r="O107" s="8"/>
    </row>
    <row r="108" spans="15:15" x14ac:dyDescent="0.2">
      <c r="O108" s="8"/>
    </row>
    <row r="109" spans="15:15" x14ac:dyDescent="0.2">
      <c r="O109" s="8"/>
    </row>
    <row r="110" spans="15:15" x14ac:dyDescent="0.2">
      <c r="O110" s="8"/>
    </row>
    <row r="111" spans="15:15" x14ac:dyDescent="0.2">
      <c r="O111" s="8"/>
    </row>
    <row r="112" spans="15:15" x14ac:dyDescent="0.2">
      <c r="O112" s="8"/>
    </row>
    <row r="113" spans="15:15" x14ac:dyDescent="0.2">
      <c r="O113" s="8"/>
    </row>
    <row r="114" spans="15:15" x14ac:dyDescent="0.2">
      <c r="O114" s="8"/>
    </row>
    <row r="115" spans="15:15" x14ac:dyDescent="0.2">
      <c r="O115" s="8"/>
    </row>
    <row r="116" spans="15:15" x14ac:dyDescent="0.2">
      <c r="O116" s="8"/>
    </row>
    <row r="117" spans="15:15" x14ac:dyDescent="0.2">
      <c r="O117" s="8"/>
    </row>
    <row r="118" spans="15:15" x14ac:dyDescent="0.2">
      <c r="O118" s="8"/>
    </row>
    <row r="119" spans="15:15" x14ac:dyDescent="0.2">
      <c r="O119" s="8"/>
    </row>
    <row r="120" spans="15:15" x14ac:dyDescent="0.2">
      <c r="O120" s="8"/>
    </row>
    <row r="121" spans="15:15" x14ac:dyDescent="0.2">
      <c r="O121" s="8"/>
    </row>
    <row r="122" spans="15:15" x14ac:dyDescent="0.2">
      <c r="O122" s="8"/>
    </row>
    <row r="123" spans="15:15" x14ac:dyDescent="0.2">
      <c r="O123" s="8"/>
    </row>
    <row r="124" spans="15:15" x14ac:dyDescent="0.2">
      <c r="O124" s="8"/>
    </row>
    <row r="125" spans="15:15" x14ac:dyDescent="0.2">
      <c r="O125" s="8"/>
    </row>
    <row r="126" spans="15:15" x14ac:dyDescent="0.2">
      <c r="O126" s="8"/>
    </row>
    <row r="127" spans="15:15" x14ac:dyDescent="0.2">
      <c r="O127" s="8"/>
    </row>
    <row r="128" spans="15:15" x14ac:dyDescent="0.2">
      <c r="O128" s="8"/>
    </row>
    <row r="129" spans="15:15" x14ac:dyDescent="0.2">
      <c r="O129" s="8"/>
    </row>
    <row r="130" spans="15:15" x14ac:dyDescent="0.2">
      <c r="O130" s="8"/>
    </row>
    <row r="131" spans="15:15" x14ac:dyDescent="0.2">
      <c r="O131" s="8"/>
    </row>
    <row r="132" spans="15:15" x14ac:dyDescent="0.2">
      <c r="O132" s="8"/>
    </row>
    <row r="133" spans="15:15" x14ac:dyDescent="0.2">
      <c r="O133" s="8"/>
    </row>
    <row r="134" spans="15:15" x14ac:dyDescent="0.2">
      <c r="O134" s="8"/>
    </row>
    <row r="135" spans="15:15" x14ac:dyDescent="0.2">
      <c r="O135" s="8"/>
    </row>
    <row r="136" spans="15:15" x14ac:dyDescent="0.2">
      <c r="O136" s="8"/>
    </row>
    <row r="137" spans="15:15" x14ac:dyDescent="0.2">
      <c r="O137" s="8"/>
    </row>
    <row r="138" spans="15:15" x14ac:dyDescent="0.2">
      <c r="O138" s="8"/>
    </row>
    <row r="139" spans="15:15" x14ac:dyDescent="0.2">
      <c r="O139" s="8"/>
    </row>
    <row r="140" spans="15:15" x14ac:dyDescent="0.2">
      <c r="O140" s="8"/>
    </row>
    <row r="141" spans="15:15" x14ac:dyDescent="0.2">
      <c r="O141" s="8"/>
    </row>
    <row r="142" spans="15:15" x14ac:dyDescent="0.2">
      <c r="O142" s="8"/>
    </row>
    <row r="143" spans="15:15" x14ac:dyDescent="0.2">
      <c r="O143" s="8"/>
    </row>
    <row r="144" spans="15:15" x14ac:dyDescent="0.2">
      <c r="O144" s="8"/>
    </row>
    <row r="145" spans="15:15" x14ac:dyDescent="0.2">
      <c r="O145" s="8"/>
    </row>
    <row r="146" spans="15:15" x14ac:dyDescent="0.2">
      <c r="O146" s="8"/>
    </row>
    <row r="147" spans="15:15" x14ac:dyDescent="0.2">
      <c r="O147" s="8"/>
    </row>
    <row r="148" spans="15:15" x14ac:dyDescent="0.2">
      <c r="O148" s="8"/>
    </row>
    <row r="149" spans="15:15" x14ac:dyDescent="0.2">
      <c r="O149" s="8"/>
    </row>
    <row r="150" spans="15:15" x14ac:dyDescent="0.2">
      <c r="O150" s="8"/>
    </row>
    <row r="151" spans="15:15" x14ac:dyDescent="0.2">
      <c r="O151" s="8"/>
    </row>
    <row r="152" spans="15:15" x14ac:dyDescent="0.2">
      <c r="O152" s="8"/>
    </row>
    <row r="153" spans="15:15" x14ac:dyDescent="0.2">
      <c r="O153" s="8"/>
    </row>
    <row r="154" spans="15:15" x14ac:dyDescent="0.2">
      <c r="O154" s="8"/>
    </row>
    <row r="155" spans="15:15" x14ac:dyDescent="0.2">
      <c r="O155" s="8"/>
    </row>
    <row r="156" spans="15:15" x14ac:dyDescent="0.2">
      <c r="O156" s="8"/>
    </row>
    <row r="157" spans="15:15" x14ac:dyDescent="0.2">
      <c r="O157" s="8"/>
    </row>
    <row r="158" spans="15:15" x14ac:dyDescent="0.2">
      <c r="O158" s="8"/>
    </row>
    <row r="159" spans="15:15" x14ac:dyDescent="0.2">
      <c r="O159" s="8"/>
    </row>
    <row r="160" spans="15:15" x14ac:dyDescent="0.2">
      <c r="O160" s="8"/>
    </row>
    <row r="161" spans="15:15" x14ac:dyDescent="0.2">
      <c r="O161" s="8"/>
    </row>
    <row r="162" spans="15:15" x14ac:dyDescent="0.2">
      <c r="O162" s="8"/>
    </row>
    <row r="163" spans="15:15" x14ac:dyDescent="0.2">
      <c r="O163" s="8"/>
    </row>
    <row r="164" spans="15:15" x14ac:dyDescent="0.2">
      <c r="O164" s="8"/>
    </row>
    <row r="165" spans="15:15" x14ac:dyDescent="0.2">
      <c r="O165" s="8"/>
    </row>
    <row r="166" spans="15:15" x14ac:dyDescent="0.2">
      <c r="O166" s="8"/>
    </row>
    <row r="167" spans="15:15" x14ac:dyDescent="0.2">
      <c r="O167" s="8"/>
    </row>
    <row r="168" spans="15:15" x14ac:dyDescent="0.2">
      <c r="O168" s="8"/>
    </row>
    <row r="169" spans="15:15" x14ac:dyDescent="0.2">
      <c r="O169" s="8"/>
    </row>
    <row r="170" spans="15:15" x14ac:dyDescent="0.2">
      <c r="O170" s="8"/>
    </row>
    <row r="171" spans="15:15" x14ac:dyDescent="0.2">
      <c r="O171" s="8"/>
    </row>
    <row r="172" spans="15:15" x14ac:dyDescent="0.2">
      <c r="O172" s="8"/>
    </row>
    <row r="173" spans="15:15" x14ac:dyDescent="0.2">
      <c r="O173" s="8"/>
    </row>
    <row r="174" spans="15:15" x14ac:dyDescent="0.2">
      <c r="O174" s="8"/>
    </row>
    <row r="175" spans="15:15" x14ac:dyDescent="0.2">
      <c r="O175" s="8"/>
    </row>
    <row r="176" spans="15:15" x14ac:dyDescent="0.2">
      <c r="O176" s="8"/>
    </row>
    <row r="177" spans="15:15" x14ac:dyDescent="0.2">
      <c r="O177" s="8"/>
    </row>
    <row r="178" spans="15:15" x14ac:dyDescent="0.2">
      <c r="O178" s="8"/>
    </row>
    <row r="179" spans="15:15" x14ac:dyDescent="0.2">
      <c r="O179" s="8"/>
    </row>
    <row r="180" spans="15:15" x14ac:dyDescent="0.2">
      <c r="O180" s="8"/>
    </row>
    <row r="181" spans="15:15" x14ac:dyDescent="0.2">
      <c r="O181" s="8"/>
    </row>
    <row r="182" spans="15:15" x14ac:dyDescent="0.2">
      <c r="O182" s="8"/>
    </row>
    <row r="183" spans="15:15" x14ac:dyDescent="0.2">
      <c r="O183" s="8"/>
    </row>
  </sheetData>
  <mergeCells count="23">
    <mergeCell ref="S50:T50"/>
    <mergeCell ref="W50:AA55"/>
    <mergeCell ref="S56:T56"/>
    <mergeCell ref="W56:AA61"/>
    <mergeCell ref="W25:AA30"/>
    <mergeCell ref="W39:AA44"/>
    <mergeCell ref="S32:T32"/>
    <mergeCell ref="W32:AA37"/>
    <mergeCell ref="N1:N2"/>
    <mergeCell ref="M1:M2"/>
    <mergeCell ref="P1:P2"/>
    <mergeCell ref="S18:T18"/>
    <mergeCell ref="W11:AA16"/>
    <mergeCell ref="S5:T5"/>
    <mergeCell ref="W5:AA10"/>
    <mergeCell ref="W18:AA23"/>
    <mergeCell ref="S11:T11"/>
    <mergeCell ref="AB32:AK37"/>
    <mergeCell ref="Q1:T2"/>
    <mergeCell ref="O1:O2"/>
    <mergeCell ref="AB11:AI16"/>
    <mergeCell ref="S25:T25"/>
    <mergeCell ref="AB5:AI10"/>
  </mergeCells>
  <hyperlinks>
    <hyperlink ref="F50" r:id="rId1"/>
    <hyperlink ref="F56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22" sqref="V22"/>
    </sheetView>
  </sheetViews>
  <sheetFormatPr baseColWidth="10" defaultColWidth="8.83203125" defaultRowHeight="15" x14ac:dyDescent="0.2"/>
  <cols>
    <col min="1" max="1" width="1.83203125" style="36" customWidth="1"/>
    <col min="2" max="2" width="11.5" style="36" customWidth="1"/>
    <col min="3" max="3" width="11.83203125" style="36" customWidth="1"/>
    <col min="4" max="4" width="7.5" style="36" customWidth="1"/>
    <col min="5" max="5" width="8.83203125" style="36"/>
    <col min="6" max="6" width="7.1640625" style="36" customWidth="1"/>
    <col min="7" max="7" width="8.83203125" style="36"/>
    <col min="8" max="8" width="8.83203125" style="36" customWidth="1"/>
    <col min="9" max="9" width="8.6640625" style="36" customWidth="1"/>
    <col min="10" max="10" width="11.83203125" style="147" customWidth="1"/>
    <col min="11" max="11" width="8.83203125" style="36"/>
    <col min="12" max="12" width="9.5" style="36" customWidth="1"/>
    <col min="13" max="15" width="8.83203125" style="36"/>
    <col min="16" max="16" width="10.5" style="36" customWidth="1"/>
    <col min="17" max="17" width="9.33203125" style="36" customWidth="1"/>
    <col min="18" max="18" width="9.83203125" style="36" customWidth="1"/>
    <col min="19" max="19" width="20.33203125" style="36" customWidth="1"/>
    <col min="20" max="20" width="7.5" style="36" customWidth="1"/>
    <col min="21" max="21" width="10.5" style="40" customWidth="1"/>
    <col min="22" max="22" width="9.5" style="36" customWidth="1"/>
    <col min="23" max="23" width="5.5" style="36" customWidth="1"/>
    <col min="24" max="24" width="7.1640625" style="36" customWidth="1"/>
    <col min="25" max="16384" width="8.83203125" style="36"/>
  </cols>
  <sheetData>
    <row r="1" spans="1:22" ht="6.75" customHeight="1" thickBot="1" x14ac:dyDescent="0.25"/>
    <row r="2" spans="1:22" ht="35.25" customHeight="1" thickTop="1" x14ac:dyDescent="0.2">
      <c r="A2" s="37"/>
      <c r="B2" s="276" t="s">
        <v>162</v>
      </c>
      <c r="C2" s="246" t="s">
        <v>161</v>
      </c>
      <c r="D2" s="287" t="s">
        <v>160</v>
      </c>
      <c r="E2" s="254" t="s">
        <v>158</v>
      </c>
      <c r="F2" s="286" t="s">
        <v>159</v>
      </c>
      <c r="G2" s="254" t="s">
        <v>158</v>
      </c>
      <c r="H2" s="254" t="s">
        <v>157</v>
      </c>
      <c r="I2" s="254" t="s">
        <v>156</v>
      </c>
      <c r="J2" s="288" t="s">
        <v>155</v>
      </c>
      <c r="K2" s="278" t="s">
        <v>154</v>
      </c>
      <c r="L2" s="279"/>
      <c r="M2" s="283" t="s">
        <v>153</v>
      </c>
      <c r="N2" s="254" t="s">
        <v>152</v>
      </c>
      <c r="O2" s="254" t="s">
        <v>72</v>
      </c>
      <c r="P2" s="254" t="s">
        <v>151</v>
      </c>
      <c r="Q2" s="270" t="s">
        <v>150</v>
      </c>
      <c r="R2" s="264" t="s">
        <v>53</v>
      </c>
      <c r="S2" s="265"/>
      <c r="T2" s="266"/>
      <c r="U2" s="274" t="s">
        <v>149</v>
      </c>
      <c r="V2" s="272" t="s">
        <v>148</v>
      </c>
    </row>
    <row r="3" spans="1:22" ht="15.75" customHeight="1" thickBot="1" x14ac:dyDescent="0.25">
      <c r="A3" s="37"/>
      <c r="B3" s="277"/>
      <c r="C3" s="29" t="s">
        <v>5</v>
      </c>
      <c r="D3" s="255"/>
      <c r="E3" s="282"/>
      <c r="F3" s="282"/>
      <c r="G3" s="282"/>
      <c r="H3" s="285"/>
      <c r="I3" s="285"/>
      <c r="J3" s="289"/>
      <c r="K3" s="280"/>
      <c r="L3" s="281"/>
      <c r="M3" s="284"/>
      <c r="N3" s="255"/>
      <c r="O3" s="255"/>
      <c r="P3" s="255"/>
      <c r="Q3" s="271"/>
      <c r="R3" s="267"/>
      <c r="S3" s="268"/>
      <c r="T3" s="269"/>
      <c r="U3" s="275"/>
      <c r="V3" s="273"/>
    </row>
    <row r="4" spans="1:22" ht="17" thickTop="1" thickBot="1" x14ac:dyDescent="0.25">
      <c r="A4" s="37"/>
      <c r="C4" s="37"/>
      <c r="K4" s="39"/>
      <c r="L4" s="39"/>
      <c r="M4" s="39"/>
      <c r="N4" s="14"/>
    </row>
    <row r="5" spans="1:22" ht="16" thickBot="1" x14ac:dyDescent="0.25">
      <c r="A5" s="37"/>
      <c r="B5" s="87" t="s">
        <v>142</v>
      </c>
      <c r="C5" s="225" t="s">
        <v>102</v>
      </c>
      <c r="D5" s="224" t="s">
        <v>140</v>
      </c>
      <c r="E5" s="224"/>
      <c r="F5" s="224"/>
      <c r="G5" s="223" t="s">
        <v>100</v>
      </c>
      <c r="H5" s="222">
        <v>68.27</v>
      </c>
      <c r="I5" s="231" t="s">
        <v>121</v>
      </c>
      <c r="J5" s="230"/>
      <c r="K5" s="229" t="s">
        <v>120</v>
      </c>
      <c r="L5" s="47"/>
      <c r="M5" s="47"/>
      <c r="N5" s="90"/>
      <c r="O5" s="70"/>
      <c r="P5" s="71"/>
      <c r="Q5" s="218"/>
      <c r="R5" s="84"/>
      <c r="S5" s="47"/>
      <c r="T5" s="48"/>
    </row>
    <row r="6" spans="1:22" x14ac:dyDescent="0.2">
      <c r="A6" s="37"/>
      <c r="B6" s="12" t="s">
        <v>97</v>
      </c>
      <c r="C6" s="11" t="s">
        <v>18</v>
      </c>
      <c r="D6" s="214">
        <v>50</v>
      </c>
      <c r="E6" s="201" t="s">
        <v>10</v>
      </c>
      <c r="F6" s="215"/>
      <c r="G6" s="203"/>
      <c r="H6" s="44">
        <v>-9.65</v>
      </c>
      <c r="I6" s="203"/>
      <c r="J6" s="217"/>
      <c r="K6" s="209" t="s">
        <v>16</v>
      </c>
      <c r="L6" s="216" t="s">
        <v>0</v>
      </c>
      <c r="M6" s="196">
        <v>20</v>
      </c>
      <c r="N6" s="196"/>
      <c r="O6" s="194">
        <f t="shared" ref="O6:O11" si="0">+M6*100</f>
        <v>2000</v>
      </c>
      <c r="P6" s="193">
        <f>+H6</f>
        <v>-9.65</v>
      </c>
      <c r="Q6" s="192">
        <f t="shared" ref="Q6:Q11" si="1">+O6*P6-12</f>
        <v>-19312</v>
      </c>
      <c r="R6" s="80">
        <f>+Q6+Q7+Q9+Q11</f>
        <v>-5348</v>
      </c>
      <c r="S6" s="53" t="s">
        <v>96</v>
      </c>
      <c r="T6" s="56"/>
    </row>
    <row r="7" spans="1:22" x14ac:dyDescent="0.2">
      <c r="A7" s="37"/>
      <c r="B7" s="12" t="s">
        <v>7</v>
      </c>
      <c r="C7" s="10" t="s">
        <v>19</v>
      </c>
      <c r="D7" s="215"/>
      <c r="E7" s="203"/>
      <c r="F7" s="202"/>
      <c r="G7" s="201" t="s">
        <v>10</v>
      </c>
      <c r="H7" s="51"/>
      <c r="I7" s="200"/>
      <c r="J7" s="199"/>
      <c r="K7" s="198" t="s">
        <v>17</v>
      </c>
      <c r="L7" s="197" t="s">
        <v>0</v>
      </c>
      <c r="M7" s="196"/>
      <c r="N7" s="196"/>
      <c r="O7" s="194">
        <f t="shared" si="0"/>
        <v>0</v>
      </c>
      <c r="P7" s="193">
        <f>+I7</f>
        <v>0</v>
      </c>
      <c r="Q7" s="192">
        <f t="shared" si="1"/>
        <v>-12</v>
      </c>
      <c r="R7" s="80">
        <f>+Q8+Q10</f>
        <v>7276</v>
      </c>
      <c r="S7" s="53" t="s">
        <v>95</v>
      </c>
      <c r="T7" s="56"/>
    </row>
    <row r="8" spans="1:22" x14ac:dyDescent="0.2">
      <c r="A8" s="37"/>
      <c r="B8" s="12" t="s">
        <v>94</v>
      </c>
      <c r="C8" s="10" t="s">
        <v>19</v>
      </c>
      <c r="D8" s="215"/>
      <c r="E8" s="203"/>
      <c r="F8" s="202">
        <v>55</v>
      </c>
      <c r="G8" s="201" t="s">
        <v>73</v>
      </c>
      <c r="H8" s="51"/>
      <c r="I8" s="200">
        <v>4.75</v>
      </c>
      <c r="J8" s="199">
        <f>+D6-F8</f>
        <v>-5</v>
      </c>
      <c r="K8" s="198" t="s">
        <v>17</v>
      </c>
      <c r="L8" s="197" t="s">
        <v>0</v>
      </c>
      <c r="M8" s="196">
        <v>10</v>
      </c>
      <c r="N8" s="196"/>
      <c r="O8" s="194">
        <f t="shared" si="0"/>
        <v>1000</v>
      </c>
      <c r="P8" s="193">
        <f>+I8</f>
        <v>4.75</v>
      </c>
      <c r="Q8" s="192">
        <f t="shared" si="1"/>
        <v>4738</v>
      </c>
      <c r="R8" s="80">
        <f>+R7/2</f>
        <v>3638</v>
      </c>
      <c r="S8" s="53" t="s">
        <v>93</v>
      </c>
      <c r="T8" s="56"/>
      <c r="U8" s="40">
        <f>IF(J8&lt;0,0,+O8*-J8)</f>
        <v>0</v>
      </c>
      <c r="V8" s="36" t="s">
        <v>92</v>
      </c>
    </row>
    <row r="9" spans="1:22" x14ac:dyDescent="0.2">
      <c r="A9" s="37"/>
      <c r="B9" s="205" t="s">
        <v>87</v>
      </c>
      <c r="C9" s="11" t="s">
        <v>18</v>
      </c>
      <c r="D9" s="214"/>
      <c r="E9" s="201" t="s">
        <v>10</v>
      </c>
      <c r="F9" s="213"/>
      <c r="G9" s="212"/>
      <c r="H9" s="44"/>
      <c r="I9" s="211"/>
      <c r="J9" s="210"/>
      <c r="K9" s="209" t="s">
        <v>23</v>
      </c>
      <c r="L9" s="208" t="s">
        <v>1</v>
      </c>
      <c r="M9" s="196"/>
      <c r="N9" s="196"/>
      <c r="O9" s="194">
        <f t="shared" si="0"/>
        <v>0</v>
      </c>
      <c r="P9" s="193">
        <f>+H9</f>
        <v>0</v>
      </c>
      <c r="Q9" s="192">
        <f t="shared" si="1"/>
        <v>-12</v>
      </c>
      <c r="R9" s="207"/>
      <c r="S9" s="53"/>
      <c r="T9" s="56"/>
    </row>
    <row r="10" spans="1:22" x14ac:dyDescent="0.2">
      <c r="A10" s="37"/>
      <c r="B10" s="205" t="s">
        <v>89</v>
      </c>
      <c r="C10" s="10" t="s">
        <v>19</v>
      </c>
      <c r="D10" s="204"/>
      <c r="E10" s="203"/>
      <c r="F10" s="202">
        <v>52.5</v>
      </c>
      <c r="G10" s="201" t="s">
        <v>73</v>
      </c>
      <c r="H10" s="51"/>
      <c r="I10" s="200">
        <v>2.5499999999999998</v>
      </c>
      <c r="J10" s="199">
        <f>IF(F10=0,0,+F10-D9)</f>
        <v>52.5</v>
      </c>
      <c r="K10" s="198" t="s">
        <v>85</v>
      </c>
      <c r="L10" s="197" t="s">
        <v>1</v>
      </c>
      <c r="M10" s="196">
        <v>10</v>
      </c>
      <c r="N10" s="196"/>
      <c r="O10" s="194">
        <f t="shared" si="0"/>
        <v>1000</v>
      </c>
      <c r="P10" s="193">
        <f>+I10</f>
        <v>2.5499999999999998</v>
      </c>
      <c r="Q10" s="192">
        <f t="shared" si="1"/>
        <v>2538</v>
      </c>
      <c r="R10" s="206">
        <f>-R6/R8</f>
        <v>1.4700384826827928</v>
      </c>
      <c r="S10" s="53" t="s">
        <v>88</v>
      </c>
      <c r="T10" s="56"/>
      <c r="U10" s="40">
        <f>IF(J10&lt;0,0,+O10*-J10)</f>
        <v>-52500</v>
      </c>
      <c r="V10" s="36" t="s">
        <v>83</v>
      </c>
    </row>
    <row r="11" spans="1:22" x14ac:dyDescent="0.2">
      <c r="A11" s="37"/>
      <c r="B11" s="205" t="s">
        <v>87</v>
      </c>
      <c r="C11" s="10" t="s">
        <v>19</v>
      </c>
      <c r="D11" s="204"/>
      <c r="E11" s="203"/>
      <c r="F11" s="202">
        <v>45</v>
      </c>
      <c r="G11" s="201" t="s">
        <v>10</v>
      </c>
      <c r="H11" s="51"/>
      <c r="I11" s="200">
        <v>7</v>
      </c>
      <c r="J11" s="199">
        <f>IF(F11=0,0,+F11-D9)</f>
        <v>45</v>
      </c>
      <c r="K11" s="198" t="s">
        <v>119</v>
      </c>
      <c r="L11" s="197" t="s">
        <v>1</v>
      </c>
      <c r="M11" s="196">
        <v>20</v>
      </c>
      <c r="N11" s="196"/>
      <c r="O11" s="194">
        <f t="shared" si="0"/>
        <v>2000</v>
      </c>
      <c r="P11" s="193">
        <f>+I11</f>
        <v>7</v>
      </c>
      <c r="Q11" s="192">
        <f t="shared" si="1"/>
        <v>13988</v>
      </c>
      <c r="R11" s="80">
        <f>+R8*6</f>
        <v>21828</v>
      </c>
      <c r="S11" s="53" t="s">
        <v>84</v>
      </c>
      <c r="T11" s="56"/>
      <c r="U11" s="40">
        <f>IF(J11&lt;0,0,+O11*-J11)</f>
        <v>-90000</v>
      </c>
      <c r="V11" s="36" t="s">
        <v>83</v>
      </c>
    </row>
    <row r="12" spans="1:22" ht="16" thickBot="1" x14ac:dyDescent="0.25">
      <c r="A12" s="37"/>
      <c r="B12" s="58"/>
      <c r="C12" s="59"/>
      <c r="D12" s="60"/>
      <c r="E12" s="60"/>
      <c r="F12" s="21" t="s">
        <v>14</v>
      </c>
      <c r="G12" s="60"/>
      <c r="H12" s="191">
        <f>SUM(H6:H9)</f>
        <v>-9.65</v>
      </c>
      <c r="I12" s="22">
        <f>SUM(I7:I11)</f>
        <v>14.3</v>
      </c>
      <c r="J12" s="190"/>
      <c r="K12" s="62"/>
      <c r="L12" s="63"/>
      <c r="M12" s="67"/>
      <c r="N12" s="85"/>
      <c r="O12" s="64"/>
      <c r="P12" s="144" t="s">
        <v>82</v>
      </c>
      <c r="Q12" s="189">
        <f>SUM(Q6:Q11)</f>
        <v>1928</v>
      </c>
      <c r="R12" s="226">
        <f>+R11/-R6</f>
        <v>4.0815258040388933</v>
      </c>
      <c r="S12" s="64" t="s">
        <v>81</v>
      </c>
      <c r="T12" s="66"/>
    </row>
    <row r="13" spans="1:22" ht="16" thickBot="1" x14ac:dyDescent="0.25">
      <c r="A13" s="37"/>
      <c r="B13" s="87" t="s">
        <v>141</v>
      </c>
      <c r="C13" s="225" t="s">
        <v>102</v>
      </c>
      <c r="D13" s="224" t="s">
        <v>140</v>
      </c>
      <c r="E13" s="224"/>
      <c r="F13" s="224"/>
      <c r="G13" s="223" t="s">
        <v>100</v>
      </c>
      <c r="H13" s="222">
        <v>68.27</v>
      </c>
      <c r="I13" s="231" t="s">
        <v>121</v>
      </c>
      <c r="J13" s="230"/>
      <c r="K13" s="229" t="s">
        <v>120</v>
      </c>
      <c r="L13" s="47"/>
      <c r="M13" s="47"/>
      <c r="N13" s="90"/>
      <c r="O13" s="70"/>
      <c r="P13" s="71"/>
      <c r="Q13" s="218"/>
      <c r="R13" s="84"/>
      <c r="S13" s="47"/>
      <c r="T13" s="48"/>
    </row>
    <row r="14" spans="1:22" x14ac:dyDescent="0.2">
      <c r="A14" s="37"/>
      <c r="B14" s="12" t="s">
        <v>97</v>
      </c>
      <c r="C14" s="11" t="s">
        <v>18</v>
      </c>
      <c r="D14" s="214">
        <v>50</v>
      </c>
      <c r="E14" s="201" t="s">
        <v>10</v>
      </c>
      <c r="F14" s="215"/>
      <c r="G14" s="203"/>
      <c r="H14" s="44">
        <v>-11.52</v>
      </c>
      <c r="I14" s="203"/>
      <c r="J14" s="217"/>
      <c r="K14" s="209" t="s">
        <v>16</v>
      </c>
      <c r="L14" s="216" t="s">
        <v>0</v>
      </c>
      <c r="M14" s="196">
        <v>10</v>
      </c>
      <c r="N14" s="233">
        <v>10</v>
      </c>
      <c r="O14" s="194">
        <f t="shared" ref="O14:O19" si="2">+M14*100</f>
        <v>1000</v>
      </c>
      <c r="P14" s="193">
        <f>+H14</f>
        <v>-11.52</v>
      </c>
      <c r="Q14" s="192">
        <f t="shared" ref="Q14:Q19" si="3">+O14*P14-12</f>
        <v>-11532</v>
      </c>
      <c r="R14" s="80">
        <f>+Q14+Q15+Q17+Q19</f>
        <v>-4568</v>
      </c>
      <c r="S14" s="53" t="s">
        <v>96</v>
      </c>
      <c r="T14" s="56"/>
    </row>
    <row r="15" spans="1:22" x14ac:dyDescent="0.2">
      <c r="A15" s="37"/>
      <c r="B15" s="12" t="s">
        <v>7</v>
      </c>
      <c r="C15" s="10" t="s">
        <v>19</v>
      </c>
      <c r="D15" s="215"/>
      <c r="E15" s="203"/>
      <c r="F15" s="202"/>
      <c r="G15" s="201" t="s">
        <v>10</v>
      </c>
      <c r="H15" s="51"/>
      <c r="I15" s="200"/>
      <c r="J15" s="199"/>
      <c r="K15" s="198" t="s">
        <v>17</v>
      </c>
      <c r="L15" s="197" t="s">
        <v>0</v>
      </c>
      <c r="M15" s="196"/>
      <c r="N15" s="234"/>
      <c r="O15" s="194">
        <f t="shared" si="2"/>
        <v>0</v>
      </c>
      <c r="P15" s="193">
        <f>+I15</f>
        <v>0</v>
      </c>
      <c r="Q15" s="192">
        <f t="shared" si="3"/>
        <v>-12</v>
      </c>
      <c r="R15" s="80">
        <f>+Q16+Q18</f>
        <v>6926</v>
      </c>
      <c r="S15" s="53" t="s">
        <v>95</v>
      </c>
      <c r="T15" s="56"/>
    </row>
    <row r="16" spans="1:22" x14ac:dyDescent="0.2">
      <c r="A16" s="37"/>
      <c r="B16" s="12" t="s">
        <v>94</v>
      </c>
      <c r="C16" s="10" t="s">
        <v>19</v>
      </c>
      <c r="D16" s="215"/>
      <c r="E16" s="203"/>
      <c r="F16" s="202">
        <v>55</v>
      </c>
      <c r="G16" s="201" t="s">
        <v>73</v>
      </c>
      <c r="H16" s="51"/>
      <c r="I16" s="200">
        <v>4.5999999999999996</v>
      </c>
      <c r="J16" s="199">
        <f>+D14-F16</f>
        <v>-5</v>
      </c>
      <c r="K16" s="198" t="s">
        <v>17</v>
      </c>
      <c r="L16" s="197" t="s">
        <v>0</v>
      </c>
      <c r="M16" s="196">
        <v>10</v>
      </c>
      <c r="N16" s="233">
        <v>10</v>
      </c>
      <c r="O16" s="194">
        <f t="shared" si="2"/>
        <v>1000</v>
      </c>
      <c r="P16" s="193">
        <f>+I16</f>
        <v>4.5999999999999996</v>
      </c>
      <c r="Q16" s="192">
        <f t="shared" si="3"/>
        <v>4588</v>
      </c>
      <c r="R16" s="80">
        <f>+R15/2</f>
        <v>3463</v>
      </c>
      <c r="S16" s="53" t="s">
        <v>93</v>
      </c>
      <c r="T16" s="56"/>
      <c r="U16" s="40">
        <f>IF(J16&lt;0,0,+O16*-J16)</f>
        <v>0</v>
      </c>
      <c r="V16" s="36" t="s">
        <v>92</v>
      </c>
    </row>
    <row r="17" spans="1:22" x14ac:dyDescent="0.2">
      <c r="A17" s="37"/>
      <c r="B17" s="205" t="s">
        <v>87</v>
      </c>
      <c r="C17" s="11" t="s">
        <v>18</v>
      </c>
      <c r="D17" s="214"/>
      <c r="E17" s="201" t="s">
        <v>10</v>
      </c>
      <c r="F17" s="213"/>
      <c r="G17" s="212"/>
      <c r="H17" s="44"/>
      <c r="I17" s="211"/>
      <c r="J17" s="210"/>
      <c r="K17" s="209" t="s">
        <v>23</v>
      </c>
      <c r="L17" s="208" t="s">
        <v>1</v>
      </c>
      <c r="M17" s="196"/>
      <c r="N17" s="234"/>
      <c r="O17" s="194">
        <f t="shared" si="2"/>
        <v>0</v>
      </c>
      <c r="P17" s="193">
        <f>+H17</f>
        <v>0</v>
      </c>
      <c r="Q17" s="192">
        <f t="shared" si="3"/>
        <v>-12</v>
      </c>
      <c r="R17" s="207"/>
      <c r="S17" s="53"/>
      <c r="T17" s="56"/>
    </row>
    <row r="18" spans="1:22" x14ac:dyDescent="0.2">
      <c r="A18" s="37"/>
      <c r="B18" s="205" t="s">
        <v>89</v>
      </c>
      <c r="C18" s="10" t="s">
        <v>19</v>
      </c>
      <c r="D18" s="204"/>
      <c r="E18" s="203"/>
      <c r="F18" s="202">
        <v>52.5</v>
      </c>
      <c r="G18" s="201" t="s">
        <v>73</v>
      </c>
      <c r="H18" s="51"/>
      <c r="I18" s="200">
        <v>2.35</v>
      </c>
      <c r="J18" s="199">
        <f>IF(F18=0,0,+F18-D17)</f>
        <v>52.5</v>
      </c>
      <c r="K18" s="198" t="s">
        <v>85</v>
      </c>
      <c r="L18" s="197" t="s">
        <v>1</v>
      </c>
      <c r="M18" s="196">
        <v>10</v>
      </c>
      <c r="N18" s="233">
        <v>10</v>
      </c>
      <c r="O18" s="194">
        <f t="shared" si="2"/>
        <v>1000</v>
      </c>
      <c r="P18" s="193">
        <f>+I18</f>
        <v>2.35</v>
      </c>
      <c r="Q18" s="192">
        <f t="shared" si="3"/>
        <v>2338</v>
      </c>
      <c r="R18" s="206">
        <f>-R14/R16</f>
        <v>1.3190874963904129</v>
      </c>
      <c r="S18" s="53" t="s">
        <v>88</v>
      </c>
      <c r="T18" s="56"/>
      <c r="U18" s="40">
        <f>IF(J18&lt;0,0,+O18*-J18)</f>
        <v>-52500</v>
      </c>
      <c r="V18" s="36" t="s">
        <v>83</v>
      </c>
    </row>
    <row r="19" spans="1:22" x14ac:dyDescent="0.2">
      <c r="A19" s="37"/>
      <c r="B19" s="205" t="s">
        <v>87</v>
      </c>
      <c r="C19" s="10" t="s">
        <v>19</v>
      </c>
      <c r="D19" s="204"/>
      <c r="E19" s="203"/>
      <c r="F19" s="202">
        <v>45</v>
      </c>
      <c r="G19" s="201" t="s">
        <v>10</v>
      </c>
      <c r="H19" s="51"/>
      <c r="I19" s="200">
        <v>7</v>
      </c>
      <c r="J19" s="199">
        <f>IF(F19=0,0,+F19-D17)</f>
        <v>45</v>
      </c>
      <c r="K19" s="198" t="s">
        <v>119</v>
      </c>
      <c r="L19" s="197" t="s">
        <v>1</v>
      </c>
      <c r="M19" s="196">
        <v>10</v>
      </c>
      <c r="N19" s="235">
        <v>0</v>
      </c>
      <c r="O19" s="194">
        <f t="shared" si="2"/>
        <v>1000</v>
      </c>
      <c r="P19" s="193">
        <f>+I19</f>
        <v>7</v>
      </c>
      <c r="Q19" s="192">
        <f t="shared" si="3"/>
        <v>6988</v>
      </c>
      <c r="R19" s="80">
        <f>+R16*6</f>
        <v>20778</v>
      </c>
      <c r="S19" s="53" t="s">
        <v>84</v>
      </c>
      <c r="T19" s="56"/>
      <c r="U19" s="40">
        <f>IF(J19&lt;0,0,+O19*-J19)</f>
        <v>-45000</v>
      </c>
      <c r="V19" s="36" t="s">
        <v>83</v>
      </c>
    </row>
    <row r="20" spans="1:22" ht="16" thickBot="1" x14ac:dyDescent="0.25">
      <c r="A20" s="37"/>
      <c r="B20" s="58"/>
      <c r="C20" s="59"/>
      <c r="D20" s="60"/>
      <c r="E20" s="60"/>
      <c r="F20" s="21" t="s">
        <v>14</v>
      </c>
      <c r="G20" s="60"/>
      <c r="H20" s="191">
        <f>SUM(H14:H17)</f>
        <v>-11.52</v>
      </c>
      <c r="I20" s="22">
        <f>SUM(I15:I19)</f>
        <v>13.95</v>
      </c>
      <c r="J20" s="190"/>
      <c r="K20" s="62"/>
      <c r="L20" s="63"/>
      <c r="M20" s="67"/>
      <c r="N20" s="85"/>
      <c r="O20" s="64"/>
      <c r="P20" s="144" t="s">
        <v>82</v>
      </c>
      <c r="Q20" s="189">
        <f>SUM(Q14:Q19)</f>
        <v>2358</v>
      </c>
      <c r="R20" s="226">
        <f>+R19/-R14</f>
        <v>4.5485989492119092</v>
      </c>
      <c r="S20" s="64" t="s">
        <v>81</v>
      </c>
      <c r="T20" s="66"/>
    </row>
    <row r="21" spans="1:22" x14ac:dyDescent="0.2">
      <c r="A21" s="37"/>
      <c r="J21" s="36"/>
    </row>
    <row r="22" spans="1:22" ht="16" thickBot="1" x14ac:dyDescent="0.25"/>
    <row r="23" spans="1:22" ht="16" thickBot="1" x14ac:dyDescent="0.25">
      <c r="A23" s="37"/>
      <c r="B23" s="87" t="s">
        <v>147</v>
      </c>
      <c r="C23" s="225" t="s">
        <v>102</v>
      </c>
      <c r="D23" s="224" t="s">
        <v>136</v>
      </c>
      <c r="E23" s="224"/>
      <c r="F23" s="224"/>
      <c r="G23" s="223" t="s">
        <v>100</v>
      </c>
      <c r="H23" s="222">
        <v>50</v>
      </c>
      <c r="I23" s="221" t="s">
        <v>99</v>
      </c>
      <c r="J23" s="220"/>
      <c r="K23" s="219" t="s">
        <v>98</v>
      </c>
      <c r="L23" s="47"/>
      <c r="M23" s="47"/>
      <c r="N23" s="90"/>
      <c r="O23" s="70"/>
      <c r="P23" s="71"/>
      <c r="Q23" s="218"/>
      <c r="R23" s="84"/>
      <c r="S23" s="47"/>
      <c r="T23" s="48"/>
    </row>
    <row r="24" spans="1:22" x14ac:dyDescent="0.2">
      <c r="A24" s="37"/>
      <c r="B24" s="12" t="s">
        <v>97</v>
      </c>
      <c r="C24" s="11" t="s">
        <v>18</v>
      </c>
      <c r="D24" s="214">
        <v>85</v>
      </c>
      <c r="E24" s="201" t="s">
        <v>10</v>
      </c>
      <c r="F24" s="215"/>
      <c r="G24" s="203"/>
      <c r="H24" s="44">
        <v>-4.25</v>
      </c>
      <c r="I24" s="203"/>
      <c r="J24" s="217"/>
      <c r="K24" s="209" t="s">
        <v>23</v>
      </c>
      <c r="L24" s="216" t="s">
        <v>0</v>
      </c>
      <c r="M24" s="196">
        <v>10</v>
      </c>
      <c r="N24" s="196"/>
      <c r="O24" s="194">
        <f t="shared" ref="O24:O29" si="4">+M24*100</f>
        <v>1000</v>
      </c>
      <c r="P24" s="193">
        <f>+H24</f>
        <v>-4.25</v>
      </c>
      <c r="Q24" s="192">
        <f t="shared" ref="Q24:Q29" si="5">+O24*P24-12</f>
        <v>-4262</v>
      </c>
      <c r="R24" s="80">
        <f>+Q24+Q25+Q27+Q29</f>
        <v>-8748</v>
      </c>
      <c r="S24" s="53" t="s">
        <v>96</v>
      </c>
      <c r="T24" s="56"/>
    </row>
    <row r="25" spans="1:22" x14ac:dyDescent="0.2">
      <c r="A25" s="37"/>
      <c r="B25" s="12" t="s">
        <v>7</v>
      </c>
      <c r="C25" s="10" t="s">
        <v>19</v>
      </c>
      <c r="D25" s="215"/>
      <c r="E25" s="203"/>
      <c r="F25" s="202"/>
      <c r="G25" s="201"/>
      <c r="H25" s="51"/>
      <c r="I25" s="200"/>
      <c r="J25" s="199"/>
      <c r="K25" s="198" t="s">
        <v>17</v>
      </c>
      <c r="L25" s="197" t="s">
        <v>0</v>
      </c>
      <c r="M25" s="196"/>
      <c r="N25" s="196"/>
      <c r="O25" s="194">
        <f t="shared" si="4"/>
        <v>0</v>
      </c>
      <c r="P25" s="193">
        <f>+I25</f>
        <v>0</v>
      </c>
      <c r="Q25" s="192">
        <f t="shared" si="5"/>
        <v>-12</v>
      </c>
      <c r="R25" s="80">
        <f>+Q26+Q28</f>
        <v>5426</v>
      </c>
      <c r="S25" s="53" t="s">
        <v>95</v>
      </c>
      <c r="T25" s="56"/>
    </row>
    <row r="26" spans="1:22" x14ac:dyDescent="0.2">
      <c r="A26" s="37"/>
      <c r="B26" s="12" t="s">
        <v>94</v>
      </c>
      <c r="C26" s="10" t="s">
        <v>19</v>
      </c>
      <c r="D26" s="215"/>
      <c r="E26" s="203"/>
      <c r="F26" s="202">
        <v>85</v>
      </c>
      <c r="G26" s="201" t="s">
        <v>73</v>
      </c>
      <c r="H26" s="51"/>
      <c r="I26" s="200">
        <v>3.4</v>
      </c>
      <c r="J26" s="199">
        <f>+D24-F26</f>
        <v>0</v>
      </c>
      <c r="K26" s="198" t="s">
        <v>24</v>
      </c>
      <c r="L26" s="197" t="s">
        <v>0</v>
      </c>
      <c r="M26" s="196">
        <v>10</v>
      </c>
      <c r="N26" s="196"/>
      <c r="O26" s="194">
        <f t="shared" si="4"/>
        <v>1000</v>
      </c>
      <c r="P26" s="193">
        <f>+I26</f>
        <v>3.4</v>
      </c>
      <c r="Q26" s="192">
        <f t="shared" si="5"/>
        <v>3388</v>
      </c>
      <c r="R26" s="80">
        <f>+R25/2</f>
        <v>2713</v>
      </c>
      <c r="S26" s="53" t="s">
        <v>93</v>
      </c>
      <c r="T26" s="56"/>
      <c r="U26" s="40">
        <f>IF(J26&lt;0,0,+O26*-J26)</f>
        <v>0</v>
      </c>
      <c r="V26" s="36" t="s">
        <v>92</v>
      </c>
    </row>
    <row r="27" spans="1:22" x14ac:dyDescent="0.2">
      <c r="A27" s="37"/>
      <c r="B27" s="205" t="s">
        <v>87</v>
      </c>
      <c r="C27" s="11" t="s">
        <v>18</v>
      </c>
      <c r="D27" s="214">
        <v>65</v>
      </c>
      <c r="E27" s="201" t="s">
        <v>10</v>
      </c>
      <c r="F27" s="213"/>
      <c r="G27" s="212"/>
      <c r="H27" s="44">
        <v>-4.45</v>
      </c>
      <c r="I27" s="211"/>
      <c r="J27" s="210"/>
      <c r="K27" s="209" t="s">
        <v>90</v>
      </c>
      <c r="L27" s="208" t="s">
        <v>1</v>
      </c>
      <c r="M27" s="196">
        <v>10</v>
      </c>
      <c r="N27" s="196"/>
      <c r="O27" s="194">
        <f t="shared" si="4"/>
        <v>1000</v>
      </c>
      <c r="P27" s="193">
        <f>+H27</f>
        <v>-4.45</v>
      </c>
      <c r="Q27" s="192">
        <f t="shared" si="5"/>
        <v>-4462</v>
      </c>
      <c r="R27" s="207"/>
      <c r="S27" s="53"/>
      <c r="T27" s="56"/>
    </row>
    <row r="28" spans="1:22" x14ac:dyDescent="0.2">
      <c r="A28" s="37"/>
      <c r="B28" s="205" t="s">
        <v>89</v>
      </c>
      <c r="C28" s="10" t="s">
        <v>19</v>
      </c>
      <c r="D28" s="204"/>
      <c r="E28" s="203"/>
      <c r="F28" s="202">
        <v>80</v>
      </c>
      <c r="G28" s="201" t="s">
        <v>73</v>
      </c>
      <c r="H28" s="51"/>
      <c r="I28" s="200">
        <v>2.0499999999999998</v>
      </c>
      <c r="J28" s="199">
        <f>IF(F28=0,0,+F28-D27)</f>
        <v>15</v>
      </c>
      <c r="K28" s="198" t="s">
        <v>15</v>
      </c>
      <c r="L28" s="197" t="s">
        <v>1</v>
      </c>
      <c r="M28" s="196">
        <v>10</v>
      </c>
      <c r="N28" s="196"/>
      <c r="O28" s="194">
        <f t="shared" si="4"/>
        <v>1000</v>
      </c>
      <c r="P28" s="193">
        <f>+I28</f>
        <v>2.0499999999999998</v>
      </c>
      <c r="Q28" s="192">
        <f t="shared" si="5"/>
        <v>2038</v>
      </c>
      <c r="R28" s="206">
        <f>-R24/R26</f>
        <v>3.2244747511979357</v>
      </c>
      <c r="S28" s="53" t="s">
        <v>88</v>
      </c>
      <c r="T28" s="56"/>
      <c r="U28" s="40">
        <f>IF(J28&lt;0,0,+O28*-J28)</f>
        <v>-15000</v>
      </c>
      <c r="V28" s="36" t="s">
        <v>83</v>
      </c>
    </row>
    <row r="29" spans="1:22" x14ac:dyDescent="0.2">
      <c r="A29" s="37"/>
      <c r="B29" s="205" t="s">
        <v>87</v>
      </c>
      <c r="C29" s="10" t="s">
        <v>19</v>
      </c>
      <c r="D29" s="204"/>
      <c r="E29" s="203"/>
      <c r="F29" s="202"/>
      <c r="G29" s="201" t="s">
        <v>10</v>
      </c>
      <c r="H29" s="51"/>
      <c r="I29" s="200"/>
      <c r="J29" s="199">
        <f>IF(F29=0,0,+F29-D27)</f>
        <v>0</v>
      </c>
      <c r="K29" s="198" t="s">
        <v>85</v>
      </c>
      <c r="L29" s="197" t="s">
        <v>1</v>
      </c>
      <c r="M29" s="196"/>
      <c r="N29" s="234"/>
      <c r="O29" s="194">
        <f t="shared" si="4"/>
        <v>0</v>
      </c>
      <c r="P29" s="193">
        <f>+I29</f>
        <v>0</v>
      </c>
      <c r="Q29" s="192">
        <f t="shared" si="5"/>
        <v>-12</v>
      </c>
      <c r="R29" s="80">
        <f>+R26*6</f>
        <v>16278</v>
      </c>
      <c r="S29" s="53" t="s">
        <v>84</v>
      </c>
      <c r="T29" s="56"/>
      <c r="U29" s="40">
        <f>IF(J29&lt;0,0,+O29*-J29)</f>
        <v>0</v>
      </c>
      <c r="V29" s="36" t="s">
        <v>83</v>
      </c>
    </row>
    <row r="30" spans="1:22" ht="16" thickBot="1" x14ac:dyDescent="0.25">
      <c r="A30" s="37"/>
      <c r="B30" s="58"/>
      <c r="C30" s="59"/>
      <c r="D30" s="60"/>
      <c r="E30" s="60"/>
      <c r="F30" s="21" t="s">
        <v>14</v>
      </c>
      <c r="G30" s="60"/>
      <c r="H30" s="191">
        <f>SUM(H24:H27)</f>
        <v>-8.6999999999999993</v>
      </c>
      <c r="I30" s="22">
        <f>SUM(I25:I28)</f>
        <v>5.4499999999999993</v>
      </c>
      <c r="J30" s="190"/>
      <c r="K30" s="62"/>
      <c r="L30" s="63"/>
      <c r="M30" s="67"/>
      <c r="N30" s="85"/>
      <c r="O30" s="64"/>
      <c r="P30" s="144" t="s">
        <v>82</v>
      </c>
      <c r="Q30" s="189">
        <f>SUM(Q24:Q29)</f>
        <v>-3322</v>
      </c>
      <c r="R30" s="226">
        <f>+R29/-R24</f>
        <v>1.8607681755829903</v>
      </c>
      <c r="S30" s="64" t="s">
        <v>81</v>
      </c>
      <c r="T30" s="66"/>
    </row>
    <row r="31" spans="1:22" ht="16" thickBot="1" x14ac:dyDescent="0.25">
      <c r="A31" s="37"/>
      <c r="B31" s="87" t="s">
        <v>146</v>
      </c>
      <c r="C31" s="225" t="s">
        <v>102</v>
      </c>
      <c r="D31" s="224" t="s">
        <v>145</v>
      </c>
      <c r="E31" s="224"/>
      <c r="F31" s="224"/>
      <c r="G31" s="223" t="s">
        <v>100</v>
      </c>
      <c r="H31" s="222">
        <v>75.819999999999993</v>
      </c>
      <c r="I31" s="221" t="s">
        <v>99</v>
      </c>
      <c r="J31" s="220"/>
      <c r="K31" s="219" t="s">
        <v>98</v>
      </c>
      <c r="L31" s="245"/>
      <c r="M31" s="47"/>
      <c r="N31" s="90"/>
      <c r="O31" s="70"/>
      <c r="P31" s="71"/>
      <c r="Q31" s="218"/>
      <c r="R31" s="84"/>
      <c r="S31" s="47"/>
      <c r="T31" s="48"/>
    </row>
    <row r="32" spans="1:22" x14ac:dyDescent="0.2">
      <c r="A32" s="37"/>
      <c r="B32" s="12" t="s">
        <v>97</v>
      </c>
      <c r="C32" s="11" t="s">
        <v>18</v>
      </c>
      <c r="D32" s="214">
        <v>85</v>
      </c>
      <c r="E32" s="201" t="s">
        <v>10</v>
      </c>
      <c r="F32" s="215"/>
      <c r="G32" s="203"/>
      <c r="H32" s="44">
        <v>-4.25</v>
      </c>
      <c r="I32" s="203"/>
      <c r="J32" s="244"/>
      <c r="K32" s="209" t="s">
        <v>23</v>
      </c>
      <c r="L32" s="216" t="s">
        <v>0</v>
      </c>
      <c r="M32" s="241">
        <v>15</v>
      </c>
      <c r="N32" s="233">
        <v>15</v>
      </c>
      <c r="O32" s="240">
        <f t="shared" ref="O32:O37" si="6">+M32*100</f>
        <v>1500</v>
      </c>
      <c r="P32" s="193">
        <f>+H32</f>
        <v>-4.25</v>
      </c>
      <c r="Q32" s="239">
        <f t="shared" ref="Q32:Q37" si="7">+O32*P32-12</f>
        <v>-6387</v>
      </c>
      <c r="R32" s="80">
        <f>+Q32+Q33+Q35+Q37</f>
        <v>-9573</v>
      </c>
      <c r="S32" s="53" t="s">
        <v>96</v>
      </c>
      <c r="T32" s="56"/>
    </row>
    <row r="33" spans="1:22" x14ac:dyDescent="0.2">
      <c r="A33" s="37"/>
      <c r="B33" s="12" t="s">
        <v>7</v>
      </c>
      <c r="C33" s="10" t="s">
        <v>19</v>
      </c>
      <c r="D33" s="215"/>
      <c r="E33" s="203"/>
      <c r="F33" s="202"/>
      <c r="G33" s="201"/>
      <c r="H33" s="51"/>
      <c r="I33" s="200"/>
      <c r="J33" s="242"/>
      <c r="K33" s="198" t="s">
        <v>17</v>
      </c>
      <c r="L33" s="197" t="s">
        <v>0</v>
      </c>
      <c r="M33" s="241"/>
      <c r="N33" s="234"/>
      <c r="O33" s="240">
        <f t="shared" si="6"/>
        <v>0</v>
      </c>
      <c r="P33" s="193">
        <f>+I33</f>
        <v>0</v>
      </c>
      <c r="Q33" s="239">
        <f t="shared" si="7"/>
        <v>-12</v>
      </c>
      <c r="R33" s="80">
        <f>+Q34+Q36</f>
        <v>7851</v>
      </c>
      <c r="S33" s="53" t="s">
        <v>95</v>
      </c>
      <c r="T33" s="56"/>
    </row>
    <row r="34" spans="1:22" x14ac:dyDescent="0.2">
      <c r="A34" s="37"/>
      <c r="B34" s="12" t="s">
        <v>94</v>
      </c>
      <c r="C34" s="10" t="s">
        <v>19</v>
      </c>
      <c r="D34" s="215"/>
      <c r="E34" s="203"/>
      <c r="F34" s="202">
        <v>85</v>
      </c>
      <c r="G34" s="201" t="s">
        <v>73</v>
      </c>
      <c r="H34" s="51"/>
      <c r="I34" s="200">
        <v>3.25</v>
      </c>
      <c r="J34" s="242">
        <f>+D32-F34</f>
        <v>0</v>
      </c>
      <c r="K34" s="198" t="s">
        <v>24</v>
      </c>
      <c r="L34" s="197" t="s">
        <v>0</v>
      </c>
      <c r="M34" s="241">
        <v>15</v>
      </c>
      <c r="N34" s="233">
        <v>15</v>
      </c>
      <c r="O34" s="240">
        <f t="shared" si="6"/>
        <v>1500</v>
      </c>
      <c r="P34" s="193">
        <f>+I34</f>
        <v>3.25</v>
      </c>
      <c r="Q34" s="239">
        <f t="shared" si="7"/>
        <v>4863</v>
      </c>
      <c r="R34" s="80">
        <f>+R33/2</f>
        <v>3925.5</v>
      </c>
      <c r="S34" s="53" t="s">
        <v>93</v>
      </c>
      <c r="T34" s="56"/>
      <c r="U34" s="40">
        <f>IF(J34&lt;0,0,+O34*-J34)</f>
        <v>0</v>
      </c>
      <c r="V34" s="36" t="s">
        <v>92</v>
      </c>
    </row>
    <row r="35" spans="1:22" x14ac:dyDescent="0.2">
      <c r="A35" s="37"/>
      <c r="B35" s="205" t="s">
        <v>87</v>
      </c>
      <c r="C35" s="11" t="s">
        <v>18</v>
      </c>
      <c r="D35" s="214">
        <v>65</v>
      </c>
      <c r="E35" s="201" t="s">
        <v>10</v>
      </c>
      <c r="F35" s="213"/>
      <c r="G35" s="212"/>
      <c r="H35" s="44">
        <v>-3.15</v>
      </c>
      <c r="I35" s="211"/>
      <c r="J35" s="243"/>
      <c r="K35" s="209" t="s">
        <v>90</v>
      </c>
      <c r="L35" s="208" t="s">
        <v>1</v>
      </c>
      <c r="M35" s="241">
        <v>10</v>
      </c>
      <c r="N35" s="233">
        <v>10</v>
      </c>
      <c r="O35" s="240">
        <f t="shared" si="6"/>
        <v>1000</v>
      </c>
      <c r="P35" s="193">
        <f>+H35</f>
        <v>-3.15</v>
      </c>
      <c r="Q35" s="239">
        <f t="shared" si="7"/>
        <v>-3162</v>
      </c>
      <c r="R35" s="207"/>
      <c r="S35" s="53"/>
      <c r="T35" s="56"/>
    </row>
    <row r="36" spans="1:22" x14ac:dyDescent="0.2">
      <c r="A36" s="37"/>
      <c r="B36" s="205" t="s">
        <v>89</v>
      </c>
      <c r="C36" s="10" t="s">
        <v>19</v>
      </c>
      <c r="D36" s="204"/>
      <c r="E36" s="203"/>
      <c r="F36" s="202">
        <v>80</v>
      </c>
      <c r="G36" s="201" t="s">
        <v>73</v>
      </c>
      <c r="H36" s="51"/>
      <c r="I36" s="200">
        <v>3</v>
      </c>
      <c r="J36" s="242">
        <f>IF(F36=0,0,+F36-D35)</f>
        <v>15</v>
      </c>
      <c r="K36" s="198" t="s">
        <v>15</v>
      </c>
      <c r="L36" s="197" t="s">
        <v>1</v>
      </c>
      <c r="M36" s="241">
        <v>10</v>
      </c>
      <c r="N36" s="235">
        <v>0</v>
      </c>
      <c r="O36" s="240">
        <f t="shared" si="6"/>
        <v>1000</v>
      </c>
      <c r="P36" s="193">
        <f>+I36</f>
        <v>3</v>
      </c>
      <c r="Q36" s="239">
        <f t="shared" si="7"/>
        <v>2988</v>
      </c>
      <c r="R36" s="206">
        <f>-R32/R34</f>
        <v>2.4386702330913259</v>
      </c>
      <c r="S36" s="53" t="s">
        <v>88</v>
      </c>
      <c r="T36" s="56"/>
      <c r="U36" s="40">
        <f>IF(J36&lt;0,0,+O36*-J36)</f>
        <v>-15000</v>
      </c>
      <c r="V36" s="36" t="s">
        <v>83</v>
      </c>
    </row>
    <row r="37" spans="1:22" x14ac:dyDescent="0.2">
      <c r="A37" s="37"/>
      <c r="B37" s="205" t="s">
        <v>87</v>
      </c>
      <c r="C37" s="10" t="s">
        <v>19</v>
      </c>
      <c r="D37" s="204"/>
      <c r="E37" s="203"/>
      <c r="F37" s="202"/>
      <c r="G37" s="201" t="s">
        <v>10</v>
      </c>
      <c r="H37" s="51"/>
      <c r="I37" s="200"/>
      <c r="J37" s="242">
        <f>IF(F37=0,0,+F37-D35)</f>
        <v>0</v>
      </c>
      <c r="K37" s="198" t="s">
        <v>85</v>
      </c>
      <c r="L37" s="197" t="s">
        <v>1</v>
      </c>
      <c r="M37" s="241"/>
      <c r="N37" s="234"/>
      <c r="O37" s="240">
        <f t="shared" si="6"/>
        <v>0</v>
      </c>
      <c r="P37" s="193">
        <f>+I37</f>
        <v>0</v>
      </c>
      <c r="Q37" s="239">
        <f t="shared" si="7"/>
        <v>-12</v>
      </c>
      <c r="R37" s="80">
        <f>+R34*6</f>
        <v>23553</v>
      </c>
      <c r="S37" s="53" t="s">
        <v>84</v>
      </c>
      <c r="T37" s="56"/>
      <c r="U37" s="40">
        <f>IF(J37&lt;0,0,+O37*-J37)</f>
        <v>0</v>
      </c>
      <c r="V37" s="36" t="s">
        <v>83</v>
      </c>
    </row>
    <row r="38" spans="1:22" ht="16" thickBot="1" x14ac:dyDescent="0.25">
      <c r="A38" s="37"/>
      <c r="B38" s="58"/>
      <c r="C38" s="59"/>
      <c r="D38" s="60"/>
      <c r="E38" s="60"/>
      <c r="F38" s="21" t="s">
        <v>14</v>
      </c>
      <c r="G38" s="60"/>
      <c r="H38" s="191">
        <f>SUM(H32:H35)</f>
        <v>-7.4</v>
      </c>
      <c r="I38" s="22">
        <f>SUM(I33:I36)</f>
        <v>6.25</v>
      </c>
      <c r="J38" s="238"/>
      <c r="K38" s="62"/>
      <c r="L38" s="63"/>
      <c r="M38" s="67"/>
      <c r="N38" s="85"/>
      <c r="O38" s="64"/>
      <c r="P38" s="144" t="s">
        <v>82</v>
      </c>
      <c r="Q38" s="189">
        <f>SUM(Q32:Q37)</f>
        <v>-1722</v>
      </c>
      <c r="R38" s="226">
        <f>+R37/-R32</f>
        <v>2.460357254779066</v>
      </c>
      <c r="S38" s="64" t="s">
        <v>81</v>
      </c>
      <c r="T38" s="66"/>
    </row>
    <row r="39" spans="1:22" ht="20" thickBot="1" x14ac:dyDescent="0.3">
      <c r="A39" s="37"/>
      <c r="B39" s="187" t="s">
        <v>80</v>
      </c>
      <c r="C39" s="186"/>
      <c r="D39" s="185"/>
      <c r="E39" s="185"/>
      <c r="F39" s="184"/>
      <c r="G39" s="290" t="s">
        <v>79</v>
      </c>
      <c r="H39" s="291"/>
      <c r="I39" s="291"/>
      <c r="J39" s="291"/>
      <c r="K39" s="183"/>
      <c r="L39" s="183"/>
      <c r="M39" s="182"/>
      <c r="N39" s="181"/>
      <c r="O39" s="180"/>
      <c r="P39" s="179" t="s">
        <v>78</v>
      </c>
      <c r="Q39" s="178" t="s">
        <v>77</v>
      </c>
      <c r="R39" s="177" t="s">
        <v>76</v>
      </c>
      <c r="S39" s="176" t="s">
        <v>75</v>
      </c>
      <c r="T39" s="175" t="s">
        <v>74</v>
      </c>
      <c r="U39" s="174"/>
    </row>
    <row r="40" spans="1:22" x14ac:dyDescent="0.2">
      <c r="B40" s="173" t="s">
        <v>144</v>
      </c>
      <c r="C40" s="170"/>
      <c r="D40" s="170"/>
      <c r="E40" s="170"/>
      <c r="F40" s="170"/>
      <c r="G40" s="170"/>
      <c r="H40" s="170"/>
      <c r="I40" s="172"/>
      <c r="J40" s="171"/>
      <c r="K40" s="170"/>
      <c r="L40" s="170"/>
      <c r="M40" s="170"/>
      <c r="N40" s="170"/>
      <c r="O40" s="170"/>
      <c r="P40" s="169">
        <f>+R32+R40</f>
        <v>-5612</v>
      </c>
      <c r="Q40" s="168">
        <v>4170</v>
      </c>
      <c r="R40" s="168">
        <v>3961</v>
      </c>
      <c r="S40" s="167">
        <f>+R40</f>
        <v>3961</v>
      </c>
      <c r="T40" s="166">
        <f t="shared" ref="T40:T46" si="8">+R40/Q40</f>
        <v>0.94988009592326139</v>
      </c>
    </row>
    <row r="41" spans="1:22" x14ac:dyDescent="0.2">
      <c r="B41" s="163" t="s">
        <v>139</v>
      </c>
      <c r="C41" s="160"/>
      <c r="D41" s="160"/>
      <c r="E41" s="160"/>
      <c r="F41" s="160"/>
      <c r="G41" s="160"/>
      <c r="H41" s="160"/>
      <c r="I41" s="162"/>
      <c r="J41" s="161"/>
      <c r="K41" s="160"/>
      <c r="L41" s="160"/>
      <c r="M41" s="160"/>
      <c r="N41" s="160"/>
      <c r="O41" s="160"/>
      <c r="P41" s="159">
        <f t="shared" ref="P41:P46" si="9">+P40+R41</f>
        <v>-6926</v>
      </c>
      <c r="Q41" s="158">
        <v>3962</v>
      </c>
      <c r="R41" s="158">
        <v>-1314</v>
      </c>
      <c r="S41" s="157">
        <f t="shared" ref="S41:S46" si="10">+S40+R41</f>
        <v>2647</v>
      </c>
      <c r="T41" s="164">
        <f t="shared" si="8"/>
        <v>-0.33165068147400301</v>
      </c>
    </row>
    <row r="42" spans="1:22" x14ac:dyDescent="0.2">
      <c r="B42" s="163" t="s">
        <v>143</v>
      </c>
      <c r="C42" s="160"/>
      <c r="D42" s="160"/>
      <c r="E42" s="160"/>
      <c r="F42" s="160"/>
      <c r="G42" s="160"/>
      <c r="H42" s="237"/>
      <c r="I42" s="165"/>
      <c r="J42" s="236"/>
      <c r="K42" s="160"/>
      <c r="L42" s="160"/>
      <c r="M42" s="160"/>
      <c r="N42" s="160"/>
      <c r="O42" s="160"/>
      <c r="P42" s="159">
        <f t="shared" si="9"/>
        <v>-5623</v>
      </c>
      <c r="Q42" s="158">
        <v>6701</v>
      </c>
      <c r="R42" s="158">
        <v>1303</v>
      </c>
      <c r="S42" s="157">
        <f t="shared" si="10"/>
        <v>3950</v>
      </c>
      <c r="T42" s="164">
        <f t="shared" si="8"/>
        <v>0.19444858976272197</v>
      </c>
    </row>
    <row r="43" spans="1:22" x14ac:dyDescent="0.2">
      <c r="B43" s="163"/>
      <c r="C43" s="160"/>
      <c r="D43" s="160"/>
      <c r="E43" s="160"/>
      <c r="F43" s="160"/>
      <c r="G43" s="160"/>
      <c r="H43" s="160"/>
      <c r="I43" s="162"/>
      <c r="J43" s="161"/>
      <c r="K43" s="160"/>
      <c r="L43" s="160"/>
      <c r="M43" s="160"/>
      <c r="N43" s="160"/>
      <c r="O43" s="160"/>
      <c r="P43" s="159">
        <f t="shared" si="9"/>
        <v>-5623</v>
      </c>
      <c r="Q43" s="158"/>
      <c r="R43" s="158"/>
      <c r="S43" s="157">
        <f t="shared" si="10"/>
        <v>3950</v>
      </c>
      <c r="T43" s="164" t="e">
        <f t="shared" si="8"/>
        <v>#DIV/0!</v>
      </c>
    </row>
    <row r="44" spans="1:22" x14ac:dyDescent="0.2">
      <c r="B44" s="163"/>
      <c r="C44" s="160"/>
      <c r="D44" s="160"/>
      <c r="E44" s="160"/>
      <c r="F44" s="160"/>
      <c r="G44" s="160"/>
      <c r="H44" s="160"/>
      <c r="I44" s="162"/>
      <c r="J44" s="161"/>
      <c r="K44" s="160"/>
      <c r="L44" s="160"/>
      <c r="M44" s="160"/>
      <c r="N44" s="160"/>
      <c r="O44" s="160"/>
      <c r="P44" s="159">
        <f t="shared" si="9"/>
        <v>-5623</v>
      </c>
      <c r="Q44" s="158"/>
      <c r="R44" s="158"/>
      <c r="S44" s="157">
        <f t="shared" si="10"/>
        <v>3950</v>
      </c>
      <c r="T44" s="164" t="e">
        <f t="shared" si="8"/>
        <v>#DIV/0!</v>
      </c>
    </row>
    <row r="45" spans="1:22" x14ac:dyDescent="0.2">
      <c r="B45" s="163"/>
      <c r="C45" s="160"/>
      <c r="D45" s="160"/>
      <c r="E45" s="160"/>
      <c r="F45" s="160"/>
      <c r="G45" s="160"/>
      <c r="H45" s="160"/>
      <c r="I45" s="162"/>
      <c r="J45" s="161"/>
      <c r="K45" s="160"/>
      <c r="L45" s="160"/>
      <c r="M45" s="160"/>
      <c r="N45" s="160"/>
      <c r="O45" s="160"/>
      <c r="P45" s="159">
        <f t="shared" si="9"/>
        <v>-5623</v>
      </c>
      <c r="Q45" s="158"/>
      <c r="R45" s="158"/>
      <c r="S45" s="157">
        <f t="shared" si="10"/>
        <v>3950</v>
      </c>
      <c r="T45" s="164" t="e">
        <f t="shared" si="8"/>
        <v>#DIV/0!</v>
      </c>
    </row>
    <row r="46" spans="1:22" ht="16" thickBot="1" x14ac:dyDescent="0.25">
      <c r="B46" s="155"/>
      <c r="C46" s="152"/>
      <c r="D46" s="152"/>
      <c r="E46" s="152"/>
      <c r="F46" s="152"/>
      <c r="G46" s="152"/>
      <c r="H46" s="152"/>
      <c r="I46" s="154"/>
      <c r="J46" s="153"/>
      <c r="K46" s="152"/>
      <c r="L46" s="152"/>
      <c r="M46" s="152"/>
      <c r="N46" s="152"/>
      <c r="O46" s="152"/>
      <c r="P46" s="151">
        <f t="shared" si="9"/>
        <v>-5623</v>
      </c>
      <c r="Q46" s="150"/>
      <c r="R46" s="150"/>
      <c r="S46" s="149">
        <f t="shared" si="10"/>
        <v>3950</v>
      </c>
      <c r="T46" s="156" t="e">
        <f t="shared" si="8"/>
        <v>#DIV/0!</v>
      </c>
    </row>
    <row r="47" spans="1:22" ht="16" thickBot="1" x14ac:dyDescent="0.25"/>
    <row r="48" spans="1:22" ht="16" thickBot="1" x14ac:dyDescent="0.25">
      <c r="A48" s="37"/>
      <c r="B48" s="87" t="s">
        <v>138</v>
      </c>
      <c r="C48" s="225" t="s">
        <v>102</v>
      </c>
      <c r="D48" s="224" t="s">
        <v>136</v>
      </c>
      <c r="E48" s="224"/>
      <c r="F48" s="224"/>
      <c r="G48" s="223" t="s">
        <v>100</v>
      </c>
      <c r="H48" s="222">
        <v>50</v>
      </c>
      <c r="I48" s="221" t="s">
        <v>99</v>
      </c>
      <c r="J48" s="220"/>
      <c r="K48" s="219" t="s">
        <v>98</v>
      </c>
      <c r="L48" s="47"/>
      <c r="M48" s="47"/>
      <c r="N48" s="90"/>
      <c r="O48" s="70"/>
      <c r="P48" s="71"/>
      <c r="Q48" s="218"/>
      <c r="R48" s="84"/>
      <c r="S48" s="47"/>
      <c r="T48" s="48"/>
    </row>
    <row r="49" spans="1:22" x14ac:dyDescent="0.2">
      <c r="A49" s="37"/>
      <c r="B49" s="12" t="s">
        <v>97</v>
      </c>
      <c r="C49" s="11" t="s">
        <v>18</v>
      </c>
      <c r="D49" s="202">
        <v>62.5</v>
      </c>
      <c r="E49" s="201" t="s">
        <v>41</v>
      </c>
      <c r="F49" s="215"/>
      <c r="G49" s="203"/>
      <c r="H49" s="44">
        <v>-5.8</v>
      </c>
      <c r="I49" s="203"/>
      <c r="J49" s="217"/>
      <c r="K49" s="209" t="s">
        <v>23</v>
      </c>
      <c r="L49" s="216" t="s">
        <v>0</v>
      </c>
      <c r="M49" s="196">
        <v>20</v>
      </c>
      <c r="N49" s="234"/>
      <c r="O49" s="194">
        <f t="shared" ref="O49:O54" si="11">+M49*100</f>
        <v>2000</v>
      </c>
      <c r="P49" s="193">
        <f>+H49</f>
        <v>-5.8</v>
      </c>
      <c r="Q49" s="192">
        <f t="shared" ref="Q49:Q54" si="12">+O49*P49-12</f>
        <v>-11612</v>
      </c>
      <c r="R49" s="80">
        <f>+Q49+Q50+Q52+Q54</f>
        <v>-14048</v>
      </c>
      <c r="S49" s="53" t="s">
        <v>96</v>
      </c>
      <c r="T49" s="56"/>
    </row>
    <row r="50" spans="1:22" x14ac:dyDescent="0.2">
      <c r="A50" s="37"/>
      <c r="B50" s="12" t="s">
        <v>7</v>
      </c>
      <c r="C50" s="10" t="s">
        <v>19</v>
      </c>
      <c r="D50" s="215"/>
      <c r="E50" s="203"/>
      <c r="F50" s="202">
        <v>70</v>
      </c>
      <c r="G50" s="201" t="s">
        <v>41</v>
      </c>
      <c r="H50" s="51"/>
      <c r="I50" s="200">
        <v>3.25</v>
      </c>
      <c r="J50" s="199"/>
      <c r="K50" s="198" t="s">
        <v>17</v>
      </c>
      <c r="L50" s="197" t="s">
        <v>0</v>
      </c>
      <c r="M50" s="196">
        <v>20</v>
      </c>
      <c r="N50" s="234"/>
      <c r="O50" s="194">
        <f t="shared" si="11"/>
        <v>2000</v>
      </c>
      <c r="P50" s="193">
        <f>+I50</f>
        <v>3.25</v>
      </c>
      <c r="Q50" s="192">
        <f t="shared" si="12"/>
        <v>6488</v>
      </c>
      <c r="R50" s="80">
        <f>+Q51+Q53</f>
        <v>11076</v>
      </c>
      <c r="S50" s="53" t="s">
        <v>95</v>
      </c>
      <c r="T50" s="56"/>
    </row>
    <row r="51" spans="1:22" x14ac:dyDescent="0.2">
      <c r="A51" s="37"/>
      <c r="B51" s="12" t="s">
        <v>94</v>
      </c>
      <c r="C51" s="10" t="s">
        <v>19</v>
      </c>
      <c r="D51" s="215"/>
      <c r="E51" s="203"/>
      <c r="F51" s="202">
        <v>57.5</v>
      </c>
      <c r="G51" s="201" t="s">
        <v>73</v>
      </c>
      <c r="H51" s="51"/>
      <c r="I51" s="200">
        <v>3.5</v>
      </c>
      <c r="J51" s="199">
        <f>+((F50+D49)/2)-F51</f>
        <v>8.75</v>
      </c>
      <c r="K51" s="198" t="s">
        <v>24</v>
      </c>
      <c r="L51" s="197" t="s">
        <v>0</v>
      </c>
      <c r="M51" s="196">
        <v>20</v>
      </c>
      <c r="N51" s="234"/>
      <c r="O51" s="194">
        <f t="shared" si="11"/>
        <v>2000</v>
      </c>
      <c r="P51" s="193">
        <f>+I51</f>
        <v>3.5</v>
      </c>
      <c r="Q51" s="192">
        <f t="shared" si="12"/>
        <v>6988</v>
      </c>
      <c r="R51" s="80">
        <f>+R50/2</f>
        <v>5538</v>
      </c>
      <c r="S51" s="53" t="s">
        <v>93</v>
      </c>
      <c r="T51" s="56"/>
      <c r="U51" s="40">
        <f>IF(J51&lt;0,0,+O51*-J51)</f>
        <v>-17500</v>
      </c>
      <c r="V51" s="36" t="s">
        <v>92</v>
      </c>
    </row>
    <row r="52" spans="1:22" x14ac:dyDescent="0.2">
      <c r="A52" s="37"/>
      <c r="B52" s="205" t="s">
        <v>87</v>
      </c>
      <c r="C52" s="11" t="s">
        <v>18</v>
      </c>
      <c r="D52" s="214">
        <v>42</v>
      </c>
      <c r="E52" s="201" t="s">
        <v>41</v>
      </c>
      <c r="F52" s="213"/>
      <c r="G52" s="212"/>
      <c r="H52" s="44">
        <v>-4.45</v>
      </c>
      <c r="I52" s="211"/>
      <c r="J52" s="210"/>
      <c r="K52" s="209" t="s">
        <v>90</v>
      </c>
      <c r="L52" s="208" t="s">
        <v>1</v>
      </c>
      <c r="M52" s="196">
        <v>20</v>
      </c>
      <c r="N52" s="234"/>
      <c r="O52" s="194">
        <f t="shared" si="11"/>
        <v>2000</v>
      </c>
      <c r="P52" s="193">
        <f>+H52</f>
        <v>-4.45</v>
      </c>
      <c r="Q52" s="192">
        <f t="shared" si="12"/>
        <v>-8912</v>
      </c>
      <c r="R52" s="207"/>
      <c r="S52" s="53"/>
      <c r="T52" s="56"/>
    </row>
    <row r="53" spans="1:22" x14ac:dyDescent="0.2">
      <c r="A53" s="37"/>
      <c r="B53" s="205" t="s">
        <v>89</v>
      </c>
      <c r="C53" s="10" t="s">
        <v>19</v>
      </c>
      <c r="D53" s="204"/>
      <c r="E53" s="203"/>
      <c r="F53" s="202">
        <v>57.5</v>
      </c>
      <c r="G53" s="201" t="s">
        <v>73</v>
      </c>
      <c r="H53" s="51"/>
      <c r="I53" s="200">
        <v>2.0499999999999998</v>
      </c>
      <c r="J53" s="199">
        <f>IF(F53=0,0,+F53-D52)</f>
        <v>15.5</v>
      </c>
      <c r="K53" s="198" t="s">
        <v>15</v>
      </c>
      <c r="L53" s="197" t="s">
        <v>1</v>
      </c>
      <c r="M53" s="196">
        <v>20</v>
      </c>
      <c r="N53" s="234"/>
      <c r="O53" s="194">
        <f t="shared" si="11"/>
        <v>2000</v>
      </c>
      <c r="P53" s="193">
        <f>+I53</f>
        <v>2.0499999999999998</v>
      </c>
      <c r="Q53" s="192">
        <f t="shared" si="12"/>
        <v>4088</v>
      </c>
      <c r="R53" s="206">
        <f>-R49/R51</f>
        <v>2.5366558324304802</v>
      </c>
      <c r="S53" s="53" t="s">
        <v>88</v>
      </c>
      <c r="T53" s="56"/>
      <c r="U53" s="40">
        <f>IF(J53&lt;0,0,+O53*-J53)</f>
        <v>-31000</v>
      </c>
      <c r="V53" s="36" t="s">
        <v>83</v>
      </c>
    </row>
    <row r="54" spans="1:22" x14ac:dyDescent="0.2">
      <c r="A54" s="37"/>
      <c r="B54" s="205" t="s">
        <v>87</v>
      </c>
      <c r="C54" s="10" t="s">
        <v>19</v>
      </c>
      <c r="D54" s="204"/>
      <c r="E54" s="203"/>
      <c r="F54" s="202"/>
      <c r="G54" s="201" t="s">
        <v>10</v>
      </c>
      <c r="H54" s="51"/>
      <c r="I54" s="200"/>
      <c r="J54" s="199">
        <f>IF(F54=0,0,+F54-D52)</f>
        <v>0</v>
      </c>
      <c r="K54" s="198" t="s">
        <v>85</v>
      </c>
      <c r="L54" s="197" t="s">
        <v>1</v>
      </c>
      <c r="M54" s="196"/>
      <c r="N54" s="234"/>
      <c r="O54" s="194">
        <f t="shared" si="11"/>
        <v>0</v>
      </c>
      <c r="P54" s="193">
        <f>+I54</f>
        <v>0</v>
      </c>
      <c r="Q54" s="192">
        <f t="shared" si="12"/>
        <v>-12</v>
      </c>
      <c r="R54" s="80">
        <f>+R51*6</f>
        <v>33228</v>
      </c>
      <c r="S54" s="53" t="s">
        <v>84</v>
      </c>
      <c r="T54" s="56"/>
      <c r="U54" s="40">
        <f>IF(J54&lt;0,0,+O54*-J54)</f>
        <v>0</v>
      </c>
      <c r="V54" s="36" t="s">
        <v>83</v>
      </c>
    </row>
    <row r="55" spans="1:22" ht="16" thickBot="1" x14ac:dyDescent="0.25">
      <c r="A55" s="37"/>
      <c r="B55" s="58"/>
      <c r="C55" s="59"/>
      <c r="D55" s="60"/>
      <c r="E55" s="60"/>
      <c r="F55" s="21" t="s">
        <v>14</v>
      </c>
      <c r="G55" s="60"/>
      <c r="H55" s="191">
        <f>SUM(H49:H52)</f>
        <v>-10.25</v>
      </c>
      <c r="I55" s="22">
        <f>SUM(I50:I53)</f>
        <v>8.8000000000000007</v>
      </c>
      <c r="J55" s="190"/>
      <c r="K55" s="62"/>
      <c r="L55" s="63"/>
      <c r="M55" s="67"/>
      <c r="N55" s="85"/>
      <c r="O55" s="64"/>
      <c r="P55" s="144" t="s">
        <v>82</v>
      </c>
      <c r="Q55" s="189">
        <f>SUM(Q49:Q54)</f>
        <v>-2972</v>
      </c>
      <c r="R55" s="226">
        <f>+R54/-R49</f>
        <v>2.3653189066059226</v>
      </c>
      <c r="S55" s="64" t="s">
        <v>81</v>
      </c>
      <c r="T55" s="66"/>
    </row>
    <row r="56" spans="1:22" ht="16" thickBot="1" x14ac:dyDescent="0.25">
      <c r="A56" s="37"/>
      <c r="B56" s="87" t="s">
        <v>137</v>
      </c>
      <c r="C56" s="225" t="s">
        <v>102</v>
      </c>
      <c r="D56" s="224" t="s">
        <v>136</v>
      </c>
      <c r="E56" s="224"/>
      <c r="F56" s="224"/>
      <c r="G56" s="223" t="s">
        <v>100</v>
      </c>
      <c r="H56" s="222">
        <v>50</v>
      </c>
      <c r="I56" s="221" t="s">
        <v>99</v>
      </c>
      <c r="J56" s="220"/>
      <c r="K56" s="219" t="s">
        <v>98</v>
      </c>
      <c r="L56" s="47"/>
      <c r="M56" s="47"/>
      <c r="N56" s="90"/>
      <c r="O56" s="70"/>
      <c r="P56" s="71"/>
      <c r="Q56" s="218"/>
      <c r="R56" s="84"/>
      <c r="S56" s="47"/>
      <c r="T56" s="48"/>
    </row>
    <row r="57" spans="1:22" x14ac:dyDescent="0.2">
      <c r="A57" s="37"/>
      <c r="B57" s="12" t="s">
        <v>97</v>
      </c>
      <c r="C57" s="11" t="s">
        <v>18</v>
      </c>
      <c r="D57" s="202">
        <v>62.5</v>
      </c>
      <c r="E57" s="201" t="s">
        <v>41</v>
      </c>
      <c r="F57" s="215"/>
      <c r="G57" s="203"/>
      <c r="H57" s="44">
        <v>-6</v>
      </c>
      <c r="I57" s="203"/>
      <c r="J57" s="217"/>
      <c r="K57" s="209" t="s">
        <v>23</v>
      </c>
      <c r="L57" s="216" t="s">
        <v>0</v>
      </c>
      <c r="M57" s="196">
        <v>10</v>
      </c>
      <c r="N57" s="233">
        <v>10</v>
      </c>
      <c r="O57" s="194">
        <f t="shared" ref="O57:O62" si="13">+M57*100</f>
        <v>1000</v>
      </c>
      <c r="P57" s="193">
        <f>+H57</f>
        <v>-6</v>
      </c>
      <c r="Q57" s="192">
        <f t="shared" ref="Q57:Q62" si="14">+O57*P57-12</f>
        <v>-6012</v>
      </c>
      <c r="R57" s="80">
        <f>+Q57+Q58+Q60+Q62</f>
        <v>-5248</v>
      </c>
      <c r="S57" s="53" t="s">
        <v>96</v>
      </c>
      <c r="T57" s="56"/>
    </row>
    <row r="58" spans="1:22" x14ac:dyDescent="0.2">
      <c r="A58" s="37"/>
      <c r="B58" s="12" t="s">
        <v>7</v>
      </c>
      <c r="C58" s="10" t="s">
        <v>19</v>
      </c>
      <c r="D58" s="215"/>
      <c r="E58" s="203"/>
      <c r="F58" s="202">
        <v>70</v>
      </c>
      <c r="G58" s="201" t="s">
        <v>41</v>
      </c>
      <c r="H58" s="51"/>
      <c r="I58" s="200">
        <v>3.4</v>
      </c>
      <c r="J58" s="199">
        <f>+F58-D57</f>
        <v>7.5</v>
      </c>
      <c r="K58" s="198" t="s">
        <v>17</v>
      </c>
      <c r="L58" s="197" t="s">
        <v>0</v>
      </c>
      <c r="M58" s="196">
        <v>10</v>
      </c>
      <c r="N58" s="233">
        <v>10</v>
      </c>
      <c r="O58" s="194">
        <f t="shared" si="13"/>
        <v>1000</v>
      </c>
      <c r="P58" s="193">
        <f>+I58</f>
        <v>3.4</v>
      </c>
      <c r="Q58" s="192">
        <f t="shared" si="14"/>
        <v>3388</v>
      </c>
      <c r="R58" s="80">
        <f>+Q59+Q61</f>
        <v>6476</v>
      </c>
      <c r="S58" s="53" t="s">
        <v>95</v>
      </c>
      <c r="T58" s="56"/>
    </row>
    <row r="59" spans="1:22" x14ac:dyDescent="0.2">
      <c r="A59" s="37"/>
      <c r="B59" s="12" t="s">
        <v>94</v>
      </c>
      <c r="C59" s="10" t="s">
        <v>19</v>
      </c>
      <c r="D59" s="215"/>
      <c r="E59" s="203"/>
      <c r="F59" s="202">
        <v>55</v>
      </c>
      <c r="G59" s="201" t="s">
        <v>73</v>
      </c>
      <c r="H59" s="51"/>
      <c r="I59" s="200">
        <v>5.2</v>
      </c>
      <c r="J59" s="199">
        <f>((+D57+F58)/2)-F59</f>
        <v>11.25</v>
      </c>
      <c r="K59" s="198" t="s">
        <v>24</v>
      </c>
      <c r="L59" s="197" t="s">
        <v>0</v>
      </c>
      <c r="M59" s="196">
        <v>10</v>
      </c>
      <c r="N59" s="233">
        <v>10</v>
      </c>
      <c r="O59" s="194">
        <f t="shared" si="13"/>
        <v>1000</v>
      </c>
      <c r="P59" s="193">
        <f>+I59</f>
        <v>5.2</v>
      </c>
      <c r="Q59" s="192">
        <f t="shared" si="14"/>
        <v>5188</v>
      </c>
      <c r="R59" s="80">
        <f>+R58/2</f>
        <v>3238</v>
      </c>
      <c r="S59" s="53" t="s">
        <v>93</v>
      </c>
      <c r="T59" s="56"/>
      <c r="U59" s="40">
        <f>IF(J59&lt;0,0,+O59*-J59)</f>
        <v>-11250</v>
      </c>
      <c r="V59" s="36" t="s">
        <v>92</v>
      </c>
    </row>
    <row r="60" spans="1:22" x14ac:dyDescent="0.2">
      <c r="A60" s="37"/>
      <c r="B60" s="205" t="s">
        <v>87</v>
      </c>
      <c r="C60" s="11" t="s">
        <v>18</v>
      </c>
      <c r="D60" s="214">
        <v>42</v>
      </c>
      <c r="E60" s="201" t="s">
        <v>41</v>
      </c>
      <c r="F60" s="213"/>
      <c r="G60" s="212"/>
      <c r="H60" s="44">
        <v>-2.6</v>
      </c>
      <c r="I60" s="211"/>
      <c r="J60" s="210"/>
      <c r="K60" s="209" t="s">
        <v>90</v>
      </c>
      <c r="L60" s="208" t="s">
        <v>1</v>
      </c>
      <c r="M60" s="196">
        <v>10</v>
      </c>
      <c r="N60" s="233">
        <v>10</v>
      </c>
      <c r="O60" s="194">
        <f t="shared" si="13"/>
        <v>1000</v>
      </c>
      <c r="P60" s="193">
        <f>+H60</f>
        <v>-2.6</v>
      </c>
      <c r="Q60" s="192">
        <f t="shared" si="14"/>
        <v>-2612</v>
      </c>
      <c r="R60" s="207"/>
      <c r="S60" s="53"/>
      <c r="T60" s="56"/>
    </row>
    <row r="61" spans="1:22" x14ac:dyDescent="0.2">
      <c r="A61" s="37"/>
      <c r="B61" s="205" t="s">
        <v>89</v>
      </c>
      <c r="C61" s="10" t="s">
        <v>19</v>
      </c>
      <c r="D61" s="204"/>
      <c r="E61" s="203"/>
      <c r="F61" s="202">
        <v>57.5</v>
      </c>
      <c r="G61" s="201" t="s">
        <v>73</v>
      </c>
      <c r="H61" s="51"/>
      <c r="I61" s="200">
        <v>1.3</v>
      </c>
      <c r="J61" s="199">
        <f>IF(F61=0,0,+F61-D60)</f>
        <v>15.5</v>
      </c>
      <c r="K61" s="198" t="s">
        <v>15</v>
      </c>
      <c r="L61" s="197" t="s">
        <v>1</v>
      </c>
      <c r="M61" s="196">
        <v>10</v>
      </c>
      <c r="N61" s="233">
        <v>10</v>
      </c>
      <c r="O61" s="194">
        <f t="shared" si="13"/>
        <v>1000</v>
      </c>
      <c r="P61" s="193">
        <f>+I61</f>
        <v>1.3</v>
      </c>
      <c r="Q61" s="192">
        <f t="shared" si="14"/>
        <v>1288</v>
      </c>
      <c r="R61" s="206">
        <f>-R57/R59</f>
        <v>1.6207535515750464</v>
      </c>
      <c r="S61" s="53" t="s">
        <v>88</v>
      </c>
      <c r="T61" s="56"/>
      <c r="U61" s="40">
        <f>IF(J61&lt;0,0,+O61*-J61)</f>
        <v>-15500</v>
      </c>
      <c r="V61" s="36" t="s">
        <v>83</v>
      </c>
    </row>
    <row r="62" spans="1:22" x14ac:dyDescent="0.2">
      <c r="A62" s="37"/>
      <c r="B62" s="205" t="s">
        <v>87</v>
      </c>
      <c r="C62" s="10" t="s">
        <v>19</v>
      </c>
      <c r="D62" s="204"/>
      <c r="E62" s="203"/>
      <c r="F62" s="202"/>
      <c r="G62" s="201" t="s">
        <v>10</v>
      </c>
      <c r="H62" s="51"/>
      <c r="I62" s="200"/>
      <c r="J62" s="199">
        <f>IF(F62=0,0,+F62-D60)</f>
        <v>0</v>
      </c>
      <c r="K62" s="198" t="s">
        <v>85</v>
      </c>
      <c r="L62" s="197" t="s">
        <v>1</v>
      </c>
      <c r="M62" s="196"/>
      <c r="N62" s="234"/>
      <c r="O62" s="194">
        <f t="shared" si="13"/>
        <v>0</v>
      </c>
      <c r="P62" s="193">
        <f>+I62</f>
        <v>0</v>
      </c>
      <c r="Q62" s="192">
        <f t="shared" si="14"/>
        <v>-12</v>
      </c>
      <c r="R62" s="80">
        <f>+R59*6</f>
        <v>19428</v>
      </c>
      <c r="S62" s="53" t="s">
        <v>84</v>
      </c>
      <c r="T62" s="56"/>
      <c r="U62" s="40">
        <f>IF(J62&lt;0,0,+O62*-J62)</f>
        <v>0</v>
      </c>
      <c r="V62" s="36" t="s">
        <v>83</v>
      </c>
    </row>
    <row r="63" spans="1:22" ht="16" thickBot="1" x14ac:dyDescent="0.25">
      <c r="A63" s="37"/>
      <c r="B63" s="58"/>
      <c r="C63" s="59"/>
      <c r="D63" s="60"/>
      <c r="E63" s="60"/>
      <c r="F63" s="21" t="s">
        <v>14</v>
      </c>
      <c r="G63" s="60"/>
      <c r="H63" s="191">
        <f>SUM(H57:H60)</f>
        <v>-8.6</v>
      </c>
      <c r="I63" s="22">
        <f>SUM(I58:I61)</f>
        <v>9.9</v>
      </c>
      <c r="J63" s="190"/>
      <c r="K63" s="62"/>
      <c r="L63" s="63"/>
      <c r="M63" s="67"/>
      <c r="N63" s="85"/>
      <c r="O63" s="64"/>
      <c r="P63" s="144" t="s">
        <v>82</v>
      </c>
      <c r="Q63" s="189">
        <f>SUM(Q57:Q62)</f>
        <v>1228</v>
      </c>
      <c r="R63" s="226">
        <f>+R62/-R57</f>
        <v>3.7019817073170733</v>
      </c>
      <c r="S63" s="64" t="s">
        <v>81</v>
      </c>
      <c r="T63" s="66"/>
    </row>
    <row r="64" spans="1:22" ht="20" thickBot="1" x14ac:dyDescent="0.3">
      <c r="A64" s="37"/>
      <c r="B64" s="187" t="s">
        <v>80</v>
      </c>
      <c r="C64" s="186"/>
      <c r="D64" s="185"/>
      <c r="E64" s="185"/>
      <c r="F64" s="184"/>
      <c r="G64" s="290" t="s">
        <v>79</v>
      </c>
      <c r="H64" s="291"/>
      <c r="I64" s="291"/>
      <c r="J64" s="291"/>
      <c r="K64" s="183"/>
      <c r="L64" s="183"/>
      <c r="M64" s="182"/>
      <c r="N64" s="181"/>
      <c r="O64" s="180"/>
      <c r="P64" s="179" t="s">
        <v>78</v>
      </c>
      <c r="Q64" s="178" t="s">
        <v>77</v>
      </c>
      <c r="R64" s="177" t="s">
        <v>76</v>
      </c>
      <c r="S64" s="176" t="s">
        <v>75</v>
      </c>
      <c r="T64" s="175" t="s">
        <v>74</v>
      </c>
      <c r="U64" s="174"/>
    </row>
    <row r="65" spans="1:22" x14ac:dyDescent="0.2">
      <c r="B65" s="173" t="s">
        <v>135</v>
      </c>
      <c r="C65" s="170"/>
      <c r="D65" s="170"/>
      <c r="E65" s="170"/>
      <c r="F65" s="170"/>
      <c r="G65" s="170"/>
      <c r="H65" s="170"/>
      <c r="I65" s="172"/>
      <c r="J65" s="171"/>
      <c r="K65" s="170"/>
      <c r="L65" s="170"/>
      <c r="M65" s="170"/>
      <c r="N65" s="170"/>
      <c r="O65" s="170"/>
      <c r="P65" s="232">
        <f>+R57+R65</f>
        <v>-5650</v>
      </c>
      <c r="Q65" s="168">
        <v>5139</v>
      </c>
      <c r="R65" s="168">
        <v>-402</v>
      </c>
      <c r="S65" s="167">
        <f>+R65</f>
        <v>-402</v>
      </c>
      <c r="T65" s="166">
        <f t="shared" ref="T65:T70" si="15">+R65/Q65</f>
        <v>-7.8225335668417981E-2</v>
      </c>
    </row>
    <row r="66" spans="1:22" x14ac:dyDescent="0.2">
      <c r="B66" s="163" t="s">
        <v>134</v>
      </c>
      <c r="C66" s="160"/>
      <c r="D66" s="160"/>
      <c r="E66" s="160"/>
      <c r="F66" s="160"/>
      <c r="G66" s="160"/>
      <c r="H66" s="160"/>
      <c r="I66" s="162"/>
      <c r="J66" s="161"/>
      <c r="K66" s="160"/>
      <c r="L66" s="160"/>
      <c r="M66" s="160"/>
      <c r="N66" s="160"/>
      <c r="O66" s="160"/>
      <c r="P66" s="159">
        <f>+P65+R66</f>
        <v>-2972</v>
      </c>
      <c r="Q66" s="158">
        <v>4923</v>
      </c>
      <c r="R66" s="158">
        <v>2678</v>
      </c>
      <c r="S66" s="157">
        <f>+S65+R66</f>
        <v>2276</v>
      </c>
      <c r="T66" s="164">
        <f t="shared" si="15"/>
        <v>0.54397724964452565</v>
      </c>
    </row>
    <row r="67" spans="1:22" x14ac:dyDescent="0.2">
      <c r="B67" s="163" t="s">
        <v>133</v>
      </c>
      <c r="C67" s="160"/>
      <c r="D67" s="160"/>
      <c r="E67" s="160"/>
      <c r="F67" s="160"/>
      <c r="G67" s="160"/>
      <c r="H67" s="160"/>
      <c r="I67" s="162"/>
      <c r="J67" s="161"/>
      <c r="K67" s="160"/>
      <c r="L67" s="160"/>
      <c r="M67" s="160"/>
      <c r="N67" s="160"/>
      <c r="O67" s="160"/>
      <c r="P67" s="159">
        <f>+P66+R67</f>
        <v>-1853</v>
      </c>
      <c r="Q67" s="158">
        <v>1119</v>
      </c>
      <c r="R67" s="158">
        <v>1119</v>
      </c>
      <c r="S67" s="157">
        <f>+S66+R67</f>
        <v>3395</v>
      </c>
      <c r="T67" s="164">
        <f t="shared" si="15"/>
        <v>1</v>
      </c>
    </row>
    <row r="68" spans="1:22" x14ac:dyDescent="0.2">
      <c r="B68" s="163" t="s">
        <v>110</v>
      </c>
      <c r="C68" s="160"/>
      <c r="D68" s="160"/>
      <c r="E68" s="160"/>
      <c r="F68" s="160"/>
      <c r="G68" s="160"/>
      <c r="H68" s="160"/>
      <c r="I68" s="162"/>
      <c r="J68" s="161"/>
      <c r="K68" s="160"/>
      <c r="L68" s="160"/>
      <c r="M68" s="160"/>
      <c r="N68" s="160"/>
      <c r="O68" s="160"/>
      <c r="P68" s="159">
        <f>+P67+R68</f>
        <v>-909</v>
      </c>
      <c r="Q68" s="158">
        <v>14029</v>
      </c>
      <c r="R68" s="158">
        <v>944</v>
      </c>
      <c r="S68" s="157">
        <f>+S67+R68</f>
        <v>4339</v>
      </c>
      <c r="T68" s="164">
        <f t="shared" si="15"/>
        <v>6.72891866847245E-2</v>
      </c>
    </row>
    <row r="69" spans="1:22" x14ac:dyDescent="0.2">
      <c r="B69" s="163"/>
      <c r="C69" s="160"/>
      <c r="D69" s="160"/>
      <c r="E69" s="160"/>
      <c r="F69" s="160"/>
      <c r="G69" s="160"/>
      <c r="H69" s="160"/>
      <c r="I69" s="162"/>
      <c r="J69" s="161"/>
      <c r="K69" s="160"/>
      <c r="L69" s="160"/>
      <c r="M69" s="160"/>
      <c r="N69" s="160"/>
      <c r="O69" s="160"/>
      <c r="P69" s="159">
        <f>+P68+R69</f>
        <v>-909</v>
      </c>
      <c r="Q69" s="158"/>
      <c r="R69" s="158"/>
      <c r="S69" s="157">
        <f>+S68+R69</f>
        <v>4339</v>
      </c>
      <c r="T69" s="164" t="e">
        <f t="shared" si="15"/>
        <v>#DIV/0!</v>
      </c>
    </row>
    <row r="70" spans="1:22" ht="16" thickBot="1" x14ac:dyDescent="0.25">
      <c r="B70" s="155"/>
      <c r="C70" s="152"/>
      <c r="D70" s="152"/>
      <c r="E70" s="152"/>
      <c r="F70" s="152"/>
      <c r="G70" s="152"/>
      <c r="H70" s="152"/>
      <c r="I70" s="154"/>
      <c r="J70" s="153"/>
      <c r="K70" s="152"/>
      <c r="L70" s="152"/>
      <c r="M70" s="152"/>
      <c r="N70" s="152"/>
      <c r="O70" s="152"/>
      <c r="P70" s="151">
        <f>+P69+R70</f>
        <v>-909</v>
      </c>
      <c r="Q70" s="150"/>
      <c r="R70" s="150"/>
      <c r="S70" s="149">
        <f>+S69+R70</f>
        <v>4339</v>
      </c>
      <c r="T70" s="156" t="e">
        <f t="shared" si="15"/>
        <v>#DIV/0!</v>
      </c>
    </row>
    <row r="71" spans="1:22" ht="16" thickBot="1" x14ac:dyDescent="0.25"/>
    <row r="72" spans="1:22" ht="16" thickBot="1" x14ac:dyDescent="0.25">
      <c r="A72" s="37"/>
      <c r="B72" s="87" t="s">
        <v>132</v>
      </c>
      <c r="C72" s="225" t="s">
        <v>102</v>
      </c>
      <c r="D72" s="224" t="s">
        <v>130</v>
      </c>
      <c r="E72" s="224"/>
      <c r="F72" s="224"/>
      <c r="G72" s="223" t="s">
        <v>100</v>
      </c>
      <c r="H72" s="222">
        <v>63.79</v>
      </c>
      <c r="I72" s="231" t="s">
        <v>121</v>
      </c>
      <c r="J72" s="230"/>
      <c r="K72" s="229" t="s">
        <v>120</v>
      </c>
      <c r="L72" s="47"/>
      <c r="M72" s="47"/>
      <c r="N72" s="90"/>
      <c r="O72" s="70"/>
      <c r="P72" s="71"/>
      <c r="Q72" s="218"/>
      <c r="R72" s="84"/>
      <c r="S72" s="47"/>
      <c r="T72" s="48"/>
    </row>
    <row r="73" spans="1:22" x14ac:dyDescent="0.2">
      <c r="A73" s="37"/>
      <c r="B73" s="12" t="s">
        <v>97</v>
      </c>
      <c r="C73" s="11" t="s">
        <v>91</v>
      </c>
      <c r="D73" s="214">
        <v>67.5</v>
      </c>
      <c r="E73" s="201" t="s">
        <v>10</v>
      </c>
      <c r="F73" s="215"/>
      <c r="G73" s="203"/>
      <c r="H73" s="44">
        <v>-3.15</v>
      </c>
      <c r="I73" s="203"/>
      <c r="J73" s="217"/>
      <c r="K73" s="209" t="s">
        <v>16</v>
      </c>
      <c r="L73" s="216" t="s">
        <v>0</v>
      </c>
      <c r="M73" s="196">
        <v>10</v>
      </c>
      <c r="N73" s="196"/>
      <c r="O73" s="194">
        <f t="shared" ref="O73:O78" si="16">+M73*100</f>
        <v>1000</v>
      </c>
      <c r="P73" s="193">
        <f>+H73</f>
        <v>-3.15</v>
      </c>
      <c r="Q73" s="192">
        <f t="shared" ref="Q73:Q78" si="17">+O73*P73-12</f>
        <v>-3162</v>
      </c>
      <c r="R73" s="80">
        <f>+Q73+Q74+Q76+Q78</f>
        <v>-6928</v>
      </c>
      <c r="S73" s="53" t="s">
        <v>96</v>
      </c>
      <c r="T73" s="56"/>
    </row>
    <row r="74" spans="1:22" x14ac:dyDescent="0.2">
      <c r="A74" s="37"/>
      <c r="B74" s="12" t="s">
        <v>7</v>
      </c>
      <c r="C74" s="10" t="s">
        <v>86</v>
      </c>
      <c r="D74" s="215"/>
      <c r="E74" s="203"/>
      <c r="F74" s="202"/>
      <c r="G74" s="201" t="s">
        <v>10</v>
      </c>
      <c r="H74" s="51"/>
      <c r="I74" s="200"/>
      <c r="J74" s="199"/>
      <c r="K74" s="198" t="s">
        <v>17</v>
      </c>
      <c r="L74" s="197" t="s">
        <v>0</v>
      </c>
      <c r="M74" s="196"/>
      <c r="N74" s="196"/>
      <c r="O74" s="194">
        <f t="shared" si="16"/>
        <v>0</v>
      </c>
      <c r="P74" s="193">
        <f>+I74</f>
        <v>0</v>
      </c>
      <c r="Q74" s="192">
        <f t="shared" si="17"/>
        <v>-12</v>
      </c>
      <c r="R74" s="80">
        <f>+Q75+Q77</f>
        <v>5276</v>
      </c>
      <c r="S74" s="53" t="s">
        <v>95</v>
      </c>
      <c r="T74" s="56"/>
    </row>
    <row r="75" spans="1:22" x14ac:dyDescent="0.2">
      <c r="A75" s="37"/>
      <c r="B75" s="12" t="s">
        <v>94</v>
      </c>
      <c r="C75" s="10" t="s">
        <v>86</v>
      </c>
      <c r="D75" s="215"/>
      <c r="E75" s="203"/>
      <c r="F75" s="202">
        <v>60</v>
      </c>
      <c r="G75" s="201" t="s">
        <v>73</v>
      </c>
      <c r="H75" s="51"/>
      <c r="I75" s="200">
        <v>3</v>
      </c>
      <c r="J75" s="199">
        <f>+D73-F75</f>
        <v>7.5</v>
      </c>
      <c r="K75" s="198" t="s">
        <v>17</v>
      </c>
      <c r="L75" s="197" t="s">
        <v>0</v>
      </c>
      <c r="M75" s="196">
        <v>10</v>
      </c>
      <c r="N75" s="196"/>
      <c r="O75" s="194">
        <f t="shared" si="16"/>
        <v>1000</v>
      </c>
      <c r="P75" s="193">
        <f>+I75</f>
        <v>3</v>
      </c>
      <c r="Q75" s="192">
        <f t="shared" si="17"/>
        <v>2988</v>
      </c>
      <c r="R75" s="80">
        <f>+R74/2</f>
        <v>2638</v>
      </c>
      <c r="S75" s="53" t="s">
        <v>93</v>
      </c>
      <c r="T75" s="56"/>
      <c r="U75" s="40">
        <f>IF(J75&lt;0,0,+O75*-J75)</f>
        <v>-7500</v>
      </c>
      <c r="V75" s="36" t="s">
        <v>92</v>
      </c>
    </row>
    <row r="76" spans="1:22" x14ac:dyDescent="0.2">
      <c r="A76" s="37"/>
      <c r="B76" s="205" t="s">
        <v>87</v>
      </c>
      <c r="C76" s="11" t="s">
        <v>91</v>
      </c>
      <c r="D76" s="214">
        <v>55</v>
      </c>
      <c r="E76" s="201" t="s">
        <v>10</v>
      </c>
      <c r="F76" s="213"/>
      <c r="G76" s="212"/>
      <c r="H76" s="44">
        <v>-3.73</v>
      </c>
      <c r="I76" s="211"/>
      <c r="J76" s="210"/>
      <c r="K76" s="209" t="s">
        <v>23</v>
      </c>
      <c r="L76" s="208" t="s">
        <v>1</v>
      </c>
      <c r="M76" s="196">
        <v>10</v>
      </c>
      <c r="N76" s="196"/>
      <c r="O76" s="194">
        <f t="shared" si="16"/>
        <v>1000</v>
      </c>
      <c r="P76" s="193">
        <f>+H76</f>
        <v>-3.73</v>
      </c>
      <c r="Q76" s="192">
        <f t="shared" si="17"/>
        <v>-3742</v>
      </c>
      <c r="R76" s="207"/>
      <c r="S76" s="53"/>
      <c r="T76" s="56"/>
    </row>
    <row r="77" spans="1:22" x14ac:dyDescent="0.2">
      <c r="A77" s="37"/>
      <c r="B77" s="205" t="s">
        <v>89</v>
      </c>
      <c r="C77" s="10" t="s">
        <v>86</v>
      </c>
      <c r="D77" s="204"/>
      <c r="E77" s="203"/>
      <c r="F77" s="202">
        <v>60</v>
      </c>
      <c r="G77" s="201" t="s">
        <v>73</v>
      </c>
      <c r="H77" s="51"/>
      <c r="I77" s="200">
        <v>2.2999999999999998</v>
      </c>
      <c r="J77" s="199">
        <f>IF(F77=0,0,+F77-D76)</f>
        <v>5</v>
      </c>
      <c r="K77" s="198" t="s">
        <v>85</v>
      </c>
      <c r="L77" s="197" t="s">
        <v>1</v>
      </c>
      <c r="M77" s="196">
        <v>10</v>
      </c>
      <c r="N77" s="196"/>
      <c r="O77" s="194">
        <f t="shared" si="16"/>
        <v>1000</v>
      </c>
      <c r="P77" s="193">
        <f>+I77</f>
        <v>2.2999999999999998</v>
      </c>
      <c r="Q77" s="192">
        <f t="shared" si="17"/>
        <v>2288</v>
      </c>
      <c r="R77" s="206">
        <f>-R73/R75</f>
        <v>2.6262319939347991</v>
      </c>
      <c r="S77" s="53" t="s">
        <v>88</v>
      </c>
      <c r="T77" s="56"/>
      <c r="U77" s="40">
        <f>IF(J77&lt;0,0,+O77*-J77)</f>
        <v>-5000</v>
      </c>
      <c r="V77" s="36" t="s">
        <v>83</v>
      </c>
    </row>
    <row r="78" spans="1:22" x14ac:dyDescent="0.2">
      <c r="A78" s="37"/>
      <c r="B78" s="205" t="s">
        <v>87</v>
      </c>
      <c r="C78" s="10" t="s">
        <v>86</v>
      </c>
      <c r="D78" s="204"/>
      <c r="E78" s="203"/>
      <c r="F78" s="202"/>
      <c r="G78" s="201" t="s">
        <v>10</v>
      </c>
      <c r="H78" s="51"/>
      <c r="I78" s="200"/>
      <c r="J78" s="199">
        <f>IF(F78=0,0,+F78-D76)</f>
        <v>0</v>
      </c>
      <c r="K78" s="198" t="s">
        <v>119</v>
      </c>
      <c r="L78" s="197" t="s">
        <v>1</v>
      </c>
      <c r="M78" s="196"/>
      <c r="N78" s="196"/>
      <c r="O78" s="194">
        <f t="shared" si="16"/>
        <v>0</v>
      </c>
      <c r="P78" s="193">
        <f>+I78</f>
        <v>0</v>
      </c>
      <c r="Q78" s="192">
        <f t="shared" si="17"/>
        <v>-12</v>
      </c>
      <c r="R78" s="80">
        <f>+R75*6</f>
        <v>15828</v>
      </c>
      <c r="S78" s="53" t="s">
        <v>84</v>
      </c>
      <c r="T78" s="56"/>
      <c r="U78" s="40">
        <f>IF(J78&lt;0,0,+O78*-J78)</f>
        <v>0</v>
      </c>
      <c r="V78" s="36" t="s">
        <v>83</v>
      </c>
    </row>
    <row r="79" spans="1:22" ht="16" thickBot="1" x14ac:dyDescent="0.25">
      <c r="A79" s="37"/>
      <c r="B79" s="58"/>
      <c r="C79" s="59"/>
      <c r="D79" s="60"/>
      <c r="E79" s="60"/>
      <c r="F79" s="21" t="s">
        <v>14</v>
      </c>
      <c r="G79" s="60"/>
      <c r="H79" s="191">
        <f>SUM(H73:H76)</f>
        <v>-6.88</v>
      </c>
      <c r="I79" s="22">
        <f>SUM(I74:I78)</f>
        <v>5.3</v>
      </c>
      <c r="J79" s="190">
        <f>+I79+H79</f>
        <v>-1.58</v>
      </c>
      <c r="K79" s="62"/>
      <c r="L79" s="63"/>
      <c r="M79" s="67"/>
      <c r="N79" s="85"/>
      <c r="O79" s="64"/>
      <c r="P79" s="144" t="s">
        <v>82</v>
      </c>
      <c r="Q79" s="189">
        <f>SUM(Q73:Q78)</f>
        <v>-1652</v>
      </c>
      <c r="R79" s="188">
        <f>+R78/-R73</f>
        <v>2.2846420323325636</v>
      </c>
      <c r="S79" s="64" t="s">
        <v>81</v>
      </c>
      <c r="T79" s="66"/>
    </row>
    <row r="80" spans="1:22" ht="16" thickBot="1" x14ac:dyDescent="0.25">
      <c r="A80" s="37"/>
      <c r="B80" s="87" t="s">
        <v>131</v>
      </c>
      <c r="C80" s="225" t="s">
        <v>102</v>
      </c>
      <c r="D80" s="224" t="s">
        <v>130</v>
      </c>
      <c r="E80" s="224"/>
      <c r="F80" s="224"/>
      <c r="G80" s="223" t="s">
        <v>100</v>
      </c>
      <c r="H80" s="222">
        <v>63.79</v>
      </c>
      <c r="I80" s="231" t="s">
        <v>121</v>
      </c>
      <c r="J80" s="230"/>
      <c r="K80" s="229" t="s">
        <v>120</v>
      </c>
      <c r="L80" s="47"/>
      <c r="M80" s="47"/>
      <c r="N80" s="90"/>
      <c r="O80" s="70"/>
      <c r="P80" s="71"/>
      <c r="Q80" s="218"/>
      <c r="R80" s="84"/>
      <c r="S80" s="47"/>
      <c r="T80" s="48"/>
    </row>
    <row r="81" spans="1:22" x14ac:dyDescent="0.2">
      <c r="A81" s="37"/>
      <c r="B81" s="12" t="s">
        <v>97</v>
      </c>
      <c r="C81" s="11" t="s">
        <v>91</v>
      </c>
      <c r="D81" s="214">
        <v>67.5</v>
      </c>
      <c r="E81" s="201" t="s">
        <v>10</v>
      </c>
      <c r="F81" s="215"/>
      <c r="G81" s="203"/>
      <c r="H81" s="44">
        <v>-2.15</v>
      </c>
      <c r="I81" s="203"/>
      <c r="J81" s="217"/>
      <c r="K81" s="209" t="s">
        <v>16</v>
      </c>
      <c r="L81" s="216" t="s">
        <v>0</v>
      </c>
      <c r="M81" s="196">
        <v>10</v>
      </c>
      <c r="N81" s="233">
        <v>10</v>
      </c>
      <c r="O81" s="194">
        <f t="shared" ref="O81:O86" si="18">+M81*100</f>
        <v>1000</v>
      </c>
      <c r="P81" s="193">
        <f>+H81</f>
        <v>-2.15</v>
      </c>
      <c r="Q81" s="192">
        <f t="shared" ref="Q81:Q86" si="19">+O81*P81-12</f>
        <v>-2162</v>
      </c>
      <c r="R81" s="80">
        <f>+Q81+Q82+Q84+Q86</f>
        <v>-5698</v>
      </c>
      <c r="S81" s="53" t="s">
        <v>96</v>
      </c>
      <c r="T81" s="56"/>
    </row>
    <row r="82" spans="1:22" x14ac:dyDescent="0.2">
      <c r="A82" s="37"/>
      <c r="B82" s="12" t="s">
        <v>7</v>
      </c>
      <c r="C82" s="10" t="s">
        <v>86</v>
      </c>
      <c r="D82" s="215"/>
      <c r="E82" s="203"/>
      <c r="F82" s="202"/>
      <c r="G82" s="201" t="s">
        <v>10</v>
      </c>
      <c r="H82" s="51"/>
      <c r="I82" s="200"/>
      <c r="J82" s="199"/>
      <c r="K82" s="198" t="s">
        <v>17</v>
      </c>
      <c r="L82" s="197" t="s">
        <v>0</v>
      </c>
      <c r="M82" s="196"/>
      <c r="N82" s="234"/>
      <c r="O82" s="194">
        <f t="shared" si="18"/>
        <v>0</v>
      </c>
      <c r="P82" s="193">
        <f>+I82</f>
        <v>0</v>
      </c>
      <c r="Q82" s="192">
        <f t="shared" si="19"/>
        <v>-12</v>
      </c>
      <c r="R82" s="80">
        <f>+Q83+Q85</f>
        <v>4756</v>
      </c>
      <c r="S82" s="53" t="s">
        <v>95</v>
      </c>
      <c r="T82" s="56"/>
    </row>
    <row r="83" spans="1:22" x14ac:dyDescent="0.2">
      <c r="A83" s="37"/>
      <c r="B83" s="12" t="s">
        <v>94</v>
      </c>
      <c r="C83" s="10" t="s">
        <v>86</v>
      </c>
      <c r="D83" s="215"/>
      <c r="E83" s="203"/>
      <c r="F83" s="202">
        <v>60</v>
      </c>
      <c r="G83" s="201" t="s">
        <v>73</v>
      </c>
      <c r="H83" s="51"/>
      <c r="I83" s="200">
        <v>2.72</v>
      </c>
      <c r="J83" s="199">
        <f>+D81-F83</f>
        <v>7.5</v>
      </c>
      <c r="K83" s="198" t="s">
        <v>17</v>
      </c>
      <c r="L83" s="197" t="s">
        <v>0</v>
      </c>
      <c r="M83" s="196">
        <v>10</v>
      </c>
      <c r="N83" s="233">
        <v>10</v>
      </c>
      <c r="O83" s="194">
        <f t="shared" si="18"/>
        <v>1000</v>
      </c>
      <c r="P83" s="193">
        <f>+I83</f>
        <v>2.72</v>
      </c>
      <c r="Q83" s="192">
        <f t="shared" si="19"/>
        <v>2708</v>
      </c>
      <c r="R83" s="80">
        <f>+R82/2</f>
        <v>2378</v>
      </c>
      <c r="S83" s="53" t="s">
        <v>93</v>
      </c>
      <c r="T83" s="56"/>
      <c r="U83" s="40">
        <f>IF(J83&lt;0,0,+O83*-J83)</f>
        <v>-7500</v>
      </c>
      <c r="V83" s="36" t="s">
        <v>92</v>
      </c>
    </row>
    <row r="84" spans="1:22" x14ac:dyDescent="0.2">
      <c r="A84" s="37"/>
      <c r="B84" s="205" t="s">
        <v>87</v>
      </c>
      <c r="C84" s="11" t="s">
        <v>91</v>
      </c>
      <c r="D84" s="214">
        <v>55</v>
      </c>
      <c r="E84" s="201" t="s">
        <v>10</v>
      </c>
      <c r="F84" s="213"/>
      <c r="G84" s="212"/>
      <c r="H84" s="44">
        <v>-3.5</v>
      </c>
      <c r="I84" s="211"/>
      <c r="J84" s="210"/>
      <c r="K84" s="209" t="s">
        <v>23</v>
      </c>
      <c r="L84" s="208" t="s">
        <v>1</v>
      </c>
      <c r="M84" s="196">
        <v>10</v>
      </c>
      <c r="N84" s="233">
        <v>10</v>
      </c>
      <c r="O84" s="194">
        <f t="shared" si="18"/>
        <v>1000</v>
      </c>
      <c r="P84" s="193">
        <f>+H84</f>
        <v>-3.5</v>
      </c>
      <c r="Q84" s="192">
        <f t="shared" si="19"/>
        <v>-3512</v>
      </c>
      <c r="R84" s="207"/>
      <c r="S84" s="53"/>
      <c r="T84" s="56"/>
    </row>
    <row r="85" spans="1:22" x14ac:dyDescent="0.2">
      <c r="A85" s="37"/>
      <c r="B85" s="205" t="s">
        <v>89</v>
      </c>
      <c r="C85" s="10" t="s">
        <v>86</v>
      </c>
      <c r="D85" s="204"/>
      <c r="E85" s="203"/>
      <c r="F85" s="202">
        <v>60</v>
      </c>
      <c r="G85" s="201" t="s">
        <v>73</v>
      </c>
      <c r="H85" s="51"/>
      <c r="I85" s="200">
        <v>2.06</v>
      </c>
      <c r="J85" s="199">
        <f>IF(F85=0,0,+F85-D84)</f>
        <v>5</v>
      </c>
      <c r="K85" s="198" t="s">
        <v>85</v>
      </c>
      <c r="L85" s="197" t="s">
        <v>1</v>
      </c>
      <c r="M85" s="196">
        <v>10</v>
      </c>
      <c r="N85" s="233">
        <v>10</v>
      </c>
      <c r="O85" s="194">
        <f t="shared" si="18"/>
        <v>1000</v>
      </c>
      <c r="P85" s="193">
        <f>+I85</f>
        <v>2.06</v>
      </c>
      <c r="Q85" s="192">
        <f t="shared" si="19"/>
        <v>2048</v>
      </c>
      <c r="R85" s="206">
        <f>-R81/R83</f>
        <v>2.3961312026913371</v>
      </c>
      <c r="S85" s="53" t="s">
        <v>88</v>
      </c>
      <c r="T85" s="56"/>
      <c r="U85" s="40">
        <f>IF(J85&lt;0,0,+O85*-J85)</f>
        <v>-5000</v>
      </c>
      <c r="V85" s="36" t="s">
        <v>83</v>
      </c>
    </row>
    <row r="86" spans="1:22" x14ac:dyDescent="0.2">
      <c r="A86" s="37"/>
      <c r="B86" s="205" t="s">
        <v>87</v>
      </c>
      <c r="C86" s="10" t="s">
        <v>86</v>
      </c>
      <c r="D86" s="204"/>
      <c r="E86" s="203"/>
      <c r="F86" s="202"/>
      <c r="G86" s="201" t="s">
        <v>10</v>
      </c>
      <c r="H86" s="51"/>
      <c r="I86" s="200"/>
      <c r="J86" s="199">
        <f>IF(F86=0,0,+F86-D84)</f>
        <v>0</v>
      </c>
      <c r="K86" s="198" t="s">
        <v>119</v>
      </c>
      <c r="L86" s="197" t="s">
        <v>1</v>
      </c>
      <c r="M86" s="196"/>
      <c r="N86" s="234"/>
      <c r="O86" s="194">
        <f t="shared" si="18"/>
        <v>0</v>
      </c>
      <c r="P86" s="193">
        <f>+I86</f>
        <v>0</v>
      </c>
      <c r="Q86" s="192">
        <f t="shared" si="19"/>
        <v>-12</v>
      </c>
      <c r="R86" s="80">
        <f>+R83*6</f>
        <v>14268</v>
      </c>
      <c r="S86" s="53" t="s">
        <v>84</v>
      </c>
      <c r="T86" s="56"/>
      <c r="U86" s="40">
        <f>IF(J86&lt;0,0,+O86*-J86)</f>
        <v>0</v>
      </c>
      <c r="V86" s="36" t="s">
        <v>83</v>
      </c>
    </row>
    <row r="87" spans="1:22" ht="16" thickBot="1" x14ac:dyDescent="0.25">
      <c r="A87" s="37"/>
      <c r="B87" s="58"/>
      <c r="C87" s="59"/>
      <c r="D87" s="60"/>
      <c r="E87" s="60"/>
      <c r="F87" s="21" t="s">
        <v>14</v>
      </c>
      <c r="G87" s="60"/>
      <c r="H87" s="191">
        <f>SUM(H81:H84)</f>
        <v>-5.65</v>
      </c>
      <c r="I87" s="22">
        <f>SUM(I82:I86)</f>
        <v>4.78</v>
      </c>
      <c r="J87" s="190">
        <f>+I87+H87</f>
        <v>-0.87000000000000011</v>
      </c>
      <c r="K87" s="62"/>
      <c r="L87" s="63"/>
      <c r="M87" s="67"/>
      <c r="N87" s="85"/>
      <c r="O87" s="64"/>
      <c r="P87" s="144" t="s">
        <v>82</v>
      </c>
      <c r="Q87" s="189">
        <f>SUM(Q81:Q86)</f>
        <v>-942</v>
      </c>
      <c r="R87" s="188">
        <f>+R86/-R81</f>
        <v>2.5040365040365042</v>
      </c>
      <c r="S87" s="64" t="s">
        <v>81</v>
      </c>
      <c r="T87" s="66"/>
    </row>
    <row r="88" spans="1:22" ht="20" thickBot="1" x14ac:dyDescent="0.3">
      <c r="A88" s="37"/>
      <c r="B88" s="187" t="s">
        <v>80</v>
      </c>
      <c r="C88" s="186"/>
      <c r="D88" s="185"/>
      <c r="E88" s="185"/>
      <c r="F88" s="184"/>
      <c r="G88" s="290" t="s">
        <v>79</v>
      </c>
      <c r="H88" s="291"/>
      <c r="I88" s="291"/>
      <c r="J88" s="291"/>
      <c r="K88" s="183"/>
      <c r="L88" s="183"/>
      <c r="M88" s="182"/>
      <c r="N88" s="181"/>
      <c r="O88" s="180"/>
      <c r="P88" s="179" t="s">
        <v>78</v>
      </c>
      <c r="Q88" s="178" t="s">
        <v>77</v>
      </c>
      <c r="R88" s="177" t="s">
        <v>76</v>
      </c>
      <c r="S88" s="176" t="s">
        <v>75</v>
      </c>
      <c r="T88" s="175" t="s">
        <v>74</v>
      </c>
      <c r="U88" s="174"/>
    </row>
    <row r="89" spans="1:22" x14ac:dyDescent="0.2">
      <c r="B89" s="173" t="s">
        <v>73</v>
      </c>
      <c r="C89" s="170"/>
      <c r="D89" s="170"/>
      <c r="E89" s="170"/>
      <c r="F89" s="170"/>
      <c r="G89" s="170"/>
      <c r="H89" s="170"/>
      <c r="I89" s="172"/>
      <c r="J89" s="171"/>
      <c r="K89" s="170"/>
      <c r="L89" s="170"/>
      <c r="M89" s="170"/>
      <c r="N89" s="170"/>
      <c r="O89" s="170"/>
      <c r="P89" s="169">
        <f>+R81+R89</f>
        <v>-5698</v>
      </c>
      <c r="Q89" s="168"/>
      <c r="R89" s="168"/>
      <c r="S89" s="167">
        <f>+R89</f>
        <v>0</v>
      </c>
      <c r="T89" s="166" t="e">
        <f t="shared" ref="T89:T94" si="20">+R89/Q89</f>
        <v>#DIV/0!</v>
      </c>
    </row>
    <row r="90" spans="1:22" x14ac:dyDescent="0.2">
      <c r="B90" s="163"/>
      <c r="C90" s="160"/>
      <c r="D90" s="160"/>
      <c r="E90" s="160"/>
      <c r="F90" s="160"/>
      <c r="G90" s="160"/>
      <c r="H90" s="160"/>
      <c r="I90" s="165"/>
      <c r="J90" s="161"/>
      <c r="K90" s="160"/>
      <c r="L90" s="160"/>
      <c r="M90" s="160"/>
      <c r="N90" s="160"/>
      <c r="O90" s="160"/>
      <c r="P90" s="159">
        <f t="shared" ref="P90:P95" si="21">+P89+R90</f>
        <v>-5698</v>
      </c>
      <c r="Q90" s="158"/>
      <c r="R90" s="158"/>
      <c r="S90" s="157">
        <f t="shared" ref="S90:S95" si="22">+S89+R90</f>
        <v>0</v>
      </c>
      <c r="T90" s="164" t="e">
        <f t="shared" si="20"/>
        <v>#DIV/0!</v>
      </c>
    </row>
    <row r="91" spans="1:22" x14ac:dyDescent="0.2">
      <c r="B91" s="163"/>
      <c r="C91" s="160"/>
      <c r="D91" s="160"/>
      <c r="E91" s="160"/>
      <c r="F91" s="160"/>
      <c r="G91" s="160"/>
      <c r="H91" s="160"/>
      <c r="I91" s="162"/>
      <c r="J91" s="161"/>
      <c r="K91" s="160"/>
      <c r="L91" s="160"/>
      <c r="M91" s="160"/>
      <c r="N91" s="160"/>
      <c r="O91" s="160"/>
      <c r="P91" s="159">
        <f t="shared" si="21"/>
        <v>-5698</v>
      </c>
      <c r="Q91" s="158"/>
      <c r="R91" s="158"/>
      <c r="S91" s="157">
        <f t="shared" si="22"/>
        <v>0</v>
      </c>
      <c r="T91" s="164" t="e">
        <f t="shared" si="20"/>
        <v>#DIV/0!</v>
      </c>
    </row>
    <row r="92" spans="1:22" x14ac:dyDescent="0.2">
      <c r="B92" s="163"/>
      <c r="C92" s="160"/>
      <c r="D92" s="160"/>
      <c r="E92" s="160"/>
      <c r="F92" s="160"/>
      <c r="G92" s="160"/>
      <c r="H92" s="160"/>
      <c r="I92" s="162"/>
      <c r="J92" s="161"/>
      <c r="K92" s="160"/>
      <c r="L92" s="160"/>
      <c r="M92" s="160"/>
      <c r="N92" s="160"/>
      <c r="O92" s="160"/>
      <c r="P92" s="159">
        <f t="shared" si="21"/>
        <v>-5698</v>
      </c>
      <c r="Q92" s="158"/>
      <c r="R92" s="158"/>
      <c r="S92" s="157">
        <f t="shared" si="22"/>
        <v>0</v>
      </c>
      <c r="T92" s="164" t="e">
        <f t="shared" si="20"/>
        <v>#DIV/0!</v>
      </c>
    </row>
    <row r="93" spans="1:22" x14ac:dyDescent="0.2">
      <c r="B93" s="163"/>
      <c r="C93" s="160"/>
      <c r="D93" s="160"/>
      <c r="E93" s="160"/>
      <c r="F93" s="160"/>
      <c r="G93" s="160"/>
      <c r="H93" s="160"/>
      <c r="I93" s="162"/>
      <c r="J93" s="161"/>
      <c r="K93" s="160"/>
      <c r="L93" s="160"/>
      <c r="M93" s="160"/>
      <c r="N93" s="160"/>
      <c r="O93" s="160"/>
      <c r="P93" s="159">
        <f t="shared" si="21"/>
        <v>-5698</v>
      </c>
      <c r="Q93" s="158"/>
      <c r="R93" s="158"/>
      <c r="S93" s="157">
        <f t="shared" si="22"/>
        <v>0</v>
      </c>
      <c r="T93" s="164" t="e">
        <f t="shared" si="20"/>
        <v>#DIV/0!</v>
      </c>
    </row>
    <row r="94" spans="1:22" ht="16" thickBot="1" x14ac:dyDescent="0.25">
      <c r="B94" s="163"/>
      <c r="C94" s="160"/>
      <c r="D94" s="160"/>
      <c r="E94" s="160"/>
      <c r="F94" s="160"/>
      <c r="G94" s="160"/>
      <c r="H94" s="160"/>
      <c r="I94" s="162"/>
      <c r="J94" s="161"/>
      <c r="K94" s="160"/>
      <c r="L94" s="160"/>
      <c r="M94" s="160"/>
      <c r="N94" s="160"/>
      <c r="O94" s="160"/>
      <c r="P94" s="159">
        <f t="shared" si="21"/>
        <v>-5698</v>
      </c>
      <c r="Q94" s="158"/>
      <c r="R94" s="158"/>
      <c r="S94" s="157">
        <f t="shared" si="22"/>
        <v>0</v>
      </c>
      <c r="T94" s="156" t="e">
        <f t="shared" si="20"/>
        <v>#DIV/0!</v>
      </c>
    </row>
    <row r="95" spans="1:22" ht="16" thickBot="1" x14ac:dyDescent="0.25">
      <c r="B95" s="155"/>
      <c r="C95" s="152"/>
      <c r="D95" s="152"/>
      <c r="E95" s="152"/>
      <c r="F95" s="152"/>
      <c r="G95" s="152"/>
      <c r="H95" s="152"/>
      <c r="I95" s="154"/>
      <c r="J95" s="153"/>
      <c r="K95" s="152"/>
      <c r="L95" s="152"/>
      <c r="M95" s="152"/>
      <c r="N95" s="152"/>
      <c r="O95" s="152"/>
      <c r="P95" s="151">
        <f t="shared" si="21"/>
        <v>-5698</v>
      </c>
      <c r="Q95" s="150"/>
      <c r="R95" s="150"/>
      <c r="S95" s="149">
        <f t="shared" si="22"/>
        <v>0</v>
      </c>
      <c r="T95" s="148"/>
    </row>
    <row r="96" spans="1:22" ht="16" thickBot="1" x14ac:dyDescent="0.25"/>
    <row r="97" spans="1:22" ht="16" thickBot="1" x14ac:dyDescent="0.25">
      <c r="A97" s="37"/>
      <c r="B97" s="87" t="s">
        <v>129</v>
      </c>
      <c r="C97" s="225" t="s">
        <v>102</v>
      </c>
      <c r="D97" s="224" t="s">
        <v>104</v>
      </c>
      <c r="E97" s="224"/>
      <c r="F97" s="224"/>
      <c r="G97" s="223" t="s">
        <v>100</v>
      </c>
      <c r="H97" s="222">
        <v>74.7</v>
      </c>
      <c r="I97" s="221" t="s">
        <v>99</v>
      </c>
      <c r="J97" s="220"/>
      <c r="K97" s="219" t="s">
        <v>98</v>
      </c>
      <c r="L97" s="47"/>
      <c r="M97" s="47"/>
      <c r="N97" s="90"/>
      <c r="O97" s="70"/>
      <c r="P97" s="71"/>
      <c r="Q97" s="218"/>
      <c r="R97" s="84"/>
      <c r="S97" s="47"/>
      <c r="T97" s="48"/>
    </row>
    <row r="98" spans="1:22" x14ac:dyDescent="0.2">
      <c r="A98" s="37"/>
      <c r="B98" s="12" t="s">
        <v>97</v>
      </c>
      <c r="C98" s="11" t="s">
        <v>91</v>
      </c>
      <c r="D98" s="214">
        <v>65</v>
      </c>
      <c r="E98" s="201" t="s">
        <v>41</v>
      </c>
      <c r="F98" s="215"/>
      <c r="G98" s="203"/>
      <c r="H98" s="44">
        <v>-8.35</v>
      </c>
      <c r="I98" s="203"/>
      <c r="J98" s="217"/>
      <c r="K98" s="209" t="s">
        <v>23</v>
      </c>
      <c r="L98" s="216" t="s">
        <v>0</v>
      </c>
      <c r="M98" s="196">
        <v>20</v>
      </c>
      <c r="N98" s="196"/>
      <c r="O98" s="194">
        <f t="shared" ref="O98:O103" si="23">+M98*100</f>
        <v>2000</v>
      </c>
      <c r="P98" s="193">
        <f>+H98</f>
        <v>-8.35</v>
      </c>
      <c r="Q98" s="192">
        <f t="shared" ref="Q98:Q103" si="24">+O98*P98-12</f>
        <v>-16712</v>
      </c>
      <c r="R98" s="80">
        <f>+Q98+Q99+Q101+Q103</f>
        <v>-4248</v>
      </c>
      <c r="S98" s="53" t="s">
        <v>96</v>
      </c>
      <c r="T98" s="56"/>
    </row>
    <row r="99" spans="1:22" x14ac:dyDescent="0.2">
      <c r="A99" s="37"/>
      <c r="B99" s="12" t="s">
        <v>7</v>
      </c>
      <c r="C99" s="10" t="s">
        <v>86</v>
      </c>
      <c r="D99" s="215"/>
      <c r="E99" s="203"/>
      <c r="F99" s="202">
        <v>77.5</v>
      </c>
      <c r="G99" s="201" t="s">
        <v>41</v>
      </c>
      <c r="H99" s="51"/>
      <c r="I99" s="200">
        <v>4</v>
      </c>
      <c r="J99" s="199">
        <f>+F99-D98</f>
        <v>12.5</v>
      </c>
      <c r="K99" s="198" t="s">
        <v>17</v>
      </c>
      <c r="L99" s="197" t="s">
        <v>0</v>
      </c>
      <c r="M99" s="196">
        <v>20</v>
      </c>
      <c r="N99" s="196"/>
      <c r="O99" s="194">
        <f t="shared" si="23"/>
        <v>2000</v>
      </c>
      <c r="P99" s="193">
        <f>+I99</f>
        <v>4</v>
      </c>
      <c r="Q99" s="192">
        <f t="shared" si="24"/>
        <v>7988</v>
      </c>
      <c r="R99" s="80">
        <f>+Q100+Q102</f>
        <v>-24</v>
      </c>
      <c r="S99" s="53" t="s">
        <v>95</v>
      </c>
      <c r="T99" s="56"/>
    </row>
    <row r="100" spans="1:22" x14ac:dyDescent="0.2">
      <c r="A100" s="37"/>
      <c r="B100" s="12" t="s">
        <v>94</v>
      </c>
      <c r="C100" s="10" t="s">
        <v>86</v>
      </c>
      <c r="D100" s="215"/>
      <c r="E100" s="203"/>
      <c r="F100" s="202"/>
      <c r="G100" s="201"/>
      <c r="H100" s="51"/>
      <c r="I100" s="200"/>
      <c r="J100" s="199"/>
      <c r="K100" s="198" t="s">
        <v>24</v>
      </c>
      <c r="L100" s="197" t="s">
        <v>0</v>
      </c>
      <c r="M100" s="196"/>
      <c r="N100" s="196"/>
      <c r="O100" s="194">
        <f t="shared" si="23"/>
        <v>0</v>
      </c>
      <c r="P100" s="193">
        <f>+I100</f>
        <v>0</v>
      </c>
      <c r="Q100" s="192">
        <f t="shared" si="24"/>
        <v>-12</v>
      </c>
      <c r="R100" s="80">
        <f>+R99/2</f>
        <v>-12</v>
      </c>
      <c r="S100" s="53" t="s">
        <v>93</v>
      </c>
      <c r="T100" s="56"/>
      <c r="U100" s="40">
        <f>IF(J100&lt;0,0,+O100*-J100)</f>
        <v>0</v>
      </c>
      <c r="V100" s="36" t="s">
        <v>92</v>
      </c>
    </row>
    <row r="101" spans="1:22" x14ac:dyDescent="0.2">
      <c r="A101" s="37"/>
      <c r="B101" s="205" t="s">
        <v>87</v>
      </c>
      <c r="C101" s="11" t="s">
        <v>91</v>
      </c>
      <c r="D101" s="214"/>
      <c r="E101" s="201" t="s">
        <v>41</v>
      </c>
      <c r="F101" s="213"/>
      <c r="G101" s="212"/>
      <c r="H101" s="44"/>
      <c r="I101" s="211"/>
      <c r="J101" s="210"/>
      <c r="K101" s="209" t="s">
        <v>90</v>
      </c>
      <c r="L101" s="208" t="s">
        <v>1</v>
      </c>
      <c r="M101" s="196"/>
      <c r="N101" s="196"/>
      <c r="O101" s="194">
        <f t="shared" si="23"/>
        <v>0</v>
      </c>
      <c r="P101" s="193">
        <f>+H101</f>
        <v>0</v>
      </c>
      <c r="Q101" s="192">
        <f t="shared" si="24"/>
        <v>-12</v>
      </c>
      <c r="R101" s="207"/>
      <c r="S101" s="53"/>
      <c r="T101" s="56"/>
    </row>
    <row r="102" spans="1:22" x14ac:dyDescent="0.2">
      <c r="A102" s="37"/>
      <c r="B102" s="205" t="s">
        <v>89</v>
      </c>
      <c r="C102" s="10" t="s">
        <v>86</v>
      </c>
      <c r="D102" s="204"/>
      <c r="E102" s="203"/>
      <c r="F102" s="202"/>
      <c r="G102" s="201"/>
      <c r="H102" s="51"/>
      <c r="I102" s="200"/>
      <c r="J102" s="199">
        <f>IF(F102=0,0,+F102-D101)</f>
        <v>0</v>
      </c>
      <c r="K102" s="198" t="s">
        <v>15</v>
      </c>
      <c r="L102" s="197" t="s">
        <v>1</v>
      </c>
      <c r="M102" s="196"/>
      <c r="N102" s="196"/>
      <c r="O102" s="194">
        <f t="shared" si="23"/>
        <v>0</v>
      </c>
      <c r="P102" s="193">
        <f>+I102</f>
        <v>0</v>
      </c>
      <c r="Q102" s="192">
        <f t="shared" si="24"/>
        <v>-12</v>
      </c>
      <c r="R102" s="206">
        <f>-R98/R100</f>
        <v>-354</v>
      </c>
      <c r="S102" s="53" t="s">
        <v>88</v>
      </c>
      <c r="T102" s="56"/>
      <c r="U102" s="40">
        <f>IF(J102&lt;0,0,+O102*-J102)</f>
        <v>0</v>
      </c>
      <c r="V102" s="36" t="s">
        <v>83</v>
      </c>
    </row>
    <row r="103" spans="1:22" x14ac:dyDescent="0.2">
      <c r="A103" s="37"/>
      <c r="B103" s="205" t="s">
        <v>87</v>
      </c>
      <c r="C103" s="10" t="s">
        <v>86</v>
      </c>
      <c r="D103" s="204"/>
      <c r="E103" s="203"/>
      <c r="F103" s="202">
        <v>65</v>
      </c>
      <c r="G103" s="201" t="s">
        <v>41</v>
      </c>
      <c r="H103" s="51"/>
      <c r="I103" s="200">
        <v>9</v>
      </c>
      <c r="J103" s="199">
        <f>IF(F103=0,0,+F103-D101)</f>
        <v>65</v>
      </c>
      <c r="K103" s="198" t="s">
        <v>85</v>
      </c>
      <c r="L103" s="197" t="s">
        <v>1</v>
      </c>
      <c r="M103" s="196">
        <v>5</v>
      </c>
      <c r="N103" s="196"/>
      <c r="O103" s="194">
        <f t="shared" si="23"/>
        <v>500</v>
      </c>
      <c r="P103" s="193">
        <f>+I103</f>
        <v>9</v>
      </c>
      <c r="Q103" s="192">
        <f t="shared" si="24"/>
        <v>4488</v>
      </c>
      <c r="R103" s="80">
        <f>+R100*6</f>
        <v>-72</v>
      </c>
      <c r="S103" s="53" t="s">
        <v>84</v>
      </c>
      <c r="T103" s="56"/>
      <c r="U103" s="40">
        <f>IF(J103&lt;0,0,+O103*-J103)</f>
        <v>-32500</v>
      </c>
      <c r="V103" s="36" t="s">
        <v>83</v>
      </c>
    </row>
    <row r="104" spans="1:22" ht="16" thickBot="1" x14ac:dyDescent="0.25">
      <c r="A104" s="37"/>
      <c r="B104" s="58"/>
      <c r="C104" s="59"/>
      <c r="D104" s="60"/>
      <c r="E104" s="60"/>
      <c r="F104" s="21" t="s">
        <v>14</v>
      </c>
      <c r="G104" s="60"/>
      <c r="H104" s="191">
        <f>SUM(H98:H101)</f>
        <v>-8.35</v>
      </c>
      <c r="I104" s="22">
        <f>SUM(I99:I103)</f>
        <v>13</v>
      </c>
      <c r="J104" s="190">
        <f>+I104+H104</f>
        <v>4.6500000000000004</v>
      </c>
      <c r="K104" s="62"/>
      <c r="L104" s="63"/>
      <c r="M104" s="67"/>
      <c r="N104" s="85"/>
      <c r="O104" s="64"/>
      <c r="P104" s="144" t="s">
        <v>82</v>
      </c>
      <c r="Q104" s="189">
        <f>SUM(Q98:Q103)</f>
        <v>-4272</v>
      </c>
      <c r="R104" s="226">
        <f>+R103/-R98</f>
        <v>-1.6949152542372881E-2</v>
      </c>
      <c r="S104" s="64" t="s">
        <v>81</v>
      </c>
      <c r="T104" s="66"/>
    </row>
    <row r="105" spans="1:22" ht="16" thickBot="1" x14ac:dyDescent="0.25">
      <c r="A105" s="37"/>
      <c r="B105" s="87" t="s">
        <v>128</v>
      </c>
      <c r="C105" s="225" t="s">
        <v>102</v>
      </c>
      <c r="D105" s="224" t="s">
        <v>106</v>
      </c>
      <c r="E105" s="224"/>
      <c r="F105" s="224"/>
      <c r="G105" s="223" t="s">
        <v>100</v>
      </c>
      <c r="H105" s="222">
        <v>68</v>
      </c>
      <c r="I105" s="231" t="s">
        <v>121</v>
      </c>
      <c r="J105" s="230"/>
      <c r="K105" s="229" t="s">
        <v>120</v>
      </c>
      <c r="L105" s="47"/>
      <c r="M105" s="47"/>
      <c r="N105" s="90"/>
      <c r="O105" s="70"/>
      <c r="P105" s="71"/>
      <c r="Q105" s="218"/>
      <c r="R105" s="84"/>
      <c r="S105" s="47"/>
      <c r="T105" s="48"/>
    </row>
    <row r="106" spans="1:22" x14ac:dyDescent="0.2">
      <c r="A106" s="37"/>
      <c r="B106" s="12" t="s">
        <v>97</v>
      </c>
      <c r="C106" s="11" t="s">
        <v>91</v>
      </c>
      <c r="D106" s="214">
        <v>65</v>
      </c>
      <c r="E106" s="201" t="s">
        <v>41</v>
      </c>
      <c r="F106" s="215"/>
      <c r="G106" s="203"/>
      <c r="H106" s="44">
        <v>-8.15</v>
      </c>
      <c r="I106" s="203"/>
      <c r="J106" s="217"/>
      <c r="K106" s="209" t="s">
        <v>16</v>
      </c>
      <c r="L106" s="216" t="s">
        <v>0</v>
      </c>
      <c r="M106" s="196">
        <v>10</v>
      </c>
      <c r="N106" s="233">
        <v>10</v>
      </c>
      <c r="O106" s="194">
        <f t="shared" ref="O106:O111" si="25">+M106*100</f>
        <v>1000</v>
      </c>
      <c r="P106" s="193">
        <f>+H106</f>
        <v>-8.15</v>
      </c>
      <c r="Q106" s="192">
        <f t="shared" ref="Q106:Q111" si="26">+O106*P106-12</f>
        <v>-8162</v>
      </c>
      <c r="R106" s="80">
        <f>+Q106+Q107+Q109+Q111</f>
        <v>302</v>
      </c>
      <c r="S106" s="53" t="s">
        <v>96</v>
      </c>
      <c r="T106" s="56"/>
    </row>
    <row r="107" spans="1:22" x14ac:dyDescent="0.2">
      <c r="A107" s="37"/>
      <c r="B107" s="12" t="s">
        <v>7</v>
      </c>
      <c r="C107" s="10" t="s">
        <v>86</v>
      </c>
      <c r="D107" s="215"/>
      <c r="E107" s="203"/>
      <c r="F107" s="202">
        <v>77.5</v>
      </c>
      <c r="G107" s="201" t="s">
        <v>41</v>
      </c>
      <c r="H107" s="51"/>
      <c r="I107" s="200">
        <v>4</v>
      </c>
      <c r="J107" s="199">
        <f>+F107-D106</f>
        <v>12.5</v>
      </c>
      <c r="K107" s="198" t="s">
        <v>17</v>
      </c>
      <c r="L107" s="197" t="s">
        <v>0</v>
      </c>
      <c r="M107" s="196">
        <v>10</v>
      </c>
      <c r="N107" s="233">
        <v>10</v>
      </c>
      <c r="O107" s="194">
        <f t="shared" si="25"/>
        <v>1000</v>
      </c>
      <c r="P107" s="193">
        <f>+I107</f>
        <v>4</v>
      </c>
      <c r="Q107" s="192">
        <f t="shared" si="26"/>
        <v>3988</v>
      </c>
      <c r="R107" s="80">
        <f>+Q108+Q110</f>
        <v>-24</v>
      </c>
      <c r="S107" s="53" t="s">
        <v>95</v>
      </c>
      <c r="T107" s="56"/>
    </row>
    <row r="108" spans="1:22" x14ac:dyDescent="0.2">
      <c r="A108" s="37"/>
      <c r="B108" s="12" t="s">
        <v>94</v>
      </c>
      <c r="C108" s="10" t="s">
        <v>86</v>
      </c>
      <c r="D108" s="215"/>
      <c r="E108" s="203"/>
      <c r="F108" s="202"/>
      <c r="G108" s="201"/>
      <c r="H108" s="51"/>
      <c r="I108" s="200"/>
      <c r="J108" s="199"/>
      <c r="K108" s="198" t="s">
        <v>17</v>
      </c>
      <c r="L108" s="197" t="s">
        <v>0</v>
      </c>
      <c r="M108" s="196"/>
      <c r="N108" s="234"/>
      <c r="O108" s="194">
        <f t="shared" si="25"/>
        <v>0</v>
      </c>
      <c r="P108" s="193">
        <f>+I108</f>
        <v>0</v>
      </c>
      <c r="Q108" s="192">
        <f t="shared" si="26"/>
        <v>-12</v>
      </c>
      <c r="R108" s="80">
        <f>+R107/2</f>
        <v>-12</v>
      </c>
      <c r="S108" s="53" t="s">
        <v>93</v>
      </c>
      <c r="T108" s="56"/>
      <c r="U108" s="40">
        <f>IF(J108&lt;0,0,+O108*-J108)</f>
        <v>0</v>
      </c>
      <c r="V108" s="36" t="s">
        <v>92</v>
      </c>
    </row>
    <row r="109" spans="1:22" x14ac:dyDescent="0.2">
      <c r="A109" s="37"/>
      <c r="B109" s="205" t="s">
        <v>87</v>
      </c>
      <c r="C109" s="11" t="s">
        <v>91</v>
      </c>
      <c r="D109" s="202"/>
      <c r="E109" s="201" t="s">
        <v>41</v>
      </c>
      <c r="F109" s="213"/>
      <c r="G109" s="212"/>
      <c r="H109" s="45"/>
      <c r="I109" s="211"/>
      <c r="J109" s="210"/>
      <c r="K109" s="209" t="s">
        <v>23</v>
      </c>
      <c r="L109" s="208" t="s">
        <v>1</v>
      </c>
      <c r="M109" s="196"/>
      <c r="N109" s="234"/>
      <c r="O109" s="194">
        <f t="shared" si="25"/>
        <v>0</v>
      </c>
      <c r="P109" s="193">
        <f>+H109</f>
        <v>0</v>
      </c>
      <c r="Q109" s="192">
        <f t="shared" si="26"/>
        <v>-12</v>
      </c>
      <c r="R109" s="207"/>
      <c r="S109" s="53"/>
      <c r="T109" s="56"/>
    </row>
    <row r="110" spans="1:22" x14ac:dyDescent="0.2">
      <c r="A110" s="37"/>
      <c r="B110" s="205" t="s">
        <v>89</v>
      </c>
      <c r="C110" s="10" t="s">
        <v>86</v>
      </c>
      <c r="D110" s="204"/>
      <c r="E110" s="203"/>
      <c r="F110" s="202"/>
      <c r="G110" s="201"/>
      <c r="H110" s="51"/>
      <c r="I110" s="200"/>
      <c r="J110" s="199">
        <f>IF(F110=0,0,+F110-D109)</f>
        <v>0</v>
      </c>
      <c r="K110" s="198" t="s">
        <v>85</v>
      </c>
      <c r="L110" s="197" t="s">
        <v>1</v>
      </c>
      <c r="M110" s="196"/>
      <c r="N110" s="234"/>
      <c r="O110" s="194">
        <f t="shared" si="25"/>
        <v>0</v>
      </c>
      <c r="P110" s="193">
        <f>+I110</f>
        <v>0</v>
      </c>
      <c r="Q110" s="192">
        <f t="shared" si="26"/>
        <v>-12</v>
      </c>
      <c r="R110" s="206">
        <f>-R106/R108</f>
        <v>25.166666666666668</v>
      </c>
      <c r="S110" s="53" t="s">
        <v>88</v>
      </c>
      <c r="T110" s="56"/>
      <c r="U110" s="40">
        <f>IF(J110&lt;0,0,+O110*-J110)</f>
        <v>0</v>
      </c>
      <c r="V110" s="36" t="s">
        <v>83</v>
      </c>
    </row>
    <row r="111" spans="1:22" x14ac:dyDescent="0.2">
      <c r="A111" s="37"/>
      <c r="B111" s="205" t="s">
        <v>87</v>
      </c>
      <c r="C111" s="10" t="s">
        <v>86</v>
      </c>
      <c r="D111" s="204"/>
      <c r="E111" s="203"/>
      <c r="F111" s="202">
        <v>65</v>
      </c>
      <c r="G111" s="201" t="s">
        <v>41</v>
      </c>
      <c r="H111" s="51"/>
      <c r="I111" s="200">
        <v>9</v>
      </c>
      <c r="J111" s="199">
        <f>IF(F111=0,0,+F111-D109)</f>
        <v>65</v>
      </c>
      <c r="K111" s="198" t="s">
        <v>119</v>
      </c>
      <c r="L111" s="197" t="s">
        <v>1</v>
      </c>
      <c r="M111" s="196">
        <v>5</v>
      </c>
      <c r="N111" s="233">
        <v>5</v>
      </c>
      <c r="O111" s="194">
        <f t="shared" si="25"/>
        <v>500</v>
      </c>
      <c r="P111" s="193">
        <f>+I111</f>
        <v>9</v>
      </c>
      <c r="Q111" s="192">
        <f t="shared" si="26"/>
        <v>4488</v>
      </c>
      <c r="R111" s="80">
        <f>+R108*6</f>
        <v>-72</v>
      </c>
      <c r="S111" s="53" t="s">
        <v>84</v>
      </c>
      <c r="T111" s="56"/>
      <c r="U111" s="40">
        <f>IF(J111&lt;0,0,+O111*-J111)</f>
        <v>-32500</v>
      </c>
      <c r="V111" s="36" t="s">
        <v>83</v>
      </c>
    </row>
    <row r="112" spans="1:22" ht="16" thickBot="1" x14ac:dyDescent="0.25">
      <c r="A112" s="37"/>
      <c r="B112" s="58"/>
      <c r="C112" s="59"/>
      <c r="D112" s="60"/>
      <c r="E112" s="60"/>
      <c r="F112" s="21" t="s">
        <v>14</v>
      </c>
      <c r="G112" s="60"/>
      <c r="H112" s="191">
        <f>SUM(H106:H109)</f>
        <v>-8.15</v>
      </c>
      <c r="I112" s="22">
        <f>SUM(I107:I111)</f>
        <v>13</v>
      </c>
      <c r="J112" s="190"/>
      <c r="K112" s="62"/>
      <c r="L112" s="63"/>
      <c r="M112" s="67"/>
      <c r="N112" s="85"/>
      <c r="O112" s="64"/>
      <c r="P112" s="144" t="s">
        <v>82</v>
      </c>
      <c r="Q112" s="189">
        <f>SUM(Q106:Q111)</f>
        <v>278</v>
      </c>
      <c r="R112" s="226">
        <f>+R111/-R106</f>
        <v>0.23841059602649006</v>
      </c>
      <c r="S112" s="64" t="s">
        <v>81</v>
      </c>
      <c r="T112" s="66"/>
    </row>
    <row r="113" spans="1:22" ht="20" thickBot="1" x14ac:dyDescent="0.3">
      <c r="A113" s="37"/>
      <c r="B113" s="187" t="s">
        <v>80</v>
      </c>
      <c r="C113" s="186"/>
      <c r="D113" s="185"/>
      <c r="E113" s="185"/>
      <c r="F113" s="184"/>
      <c r="G113" s="290" t="s">
        <v>79</v>
      </c>
      <c r="H113" s="291"/>
      <c r="I113" s="291"/>
      <c r="J113" s="291"/>
      <c r="K113" s="183"/>
      <c r="L113" s="183"/>
      <c r="M113" s="182"/>
      <c r="N113" s="181"/>
      <c r="O113" s="180"/>
      <c r="P113" s="179" t="s">
        <v>78</v>
      </c>
      <c r="Q113" s="178" t="s">
        <v>77</v>
      </c>
      <c r="R113" s="177" t="s">
        <v>76</v>
      </c>
      <c r="S113" s="176" t="s">
        <v>75</v>
      </c>
      <c r="T113" s="175" t="s">
        <v>74</v>
      </c>
      <c r="U113" s="174"/>
    </row>
    <row r="114" spans="1:22" x14ac:dyDescent="0.2">
      <c r="B114" s="173" t="s">
        <v>73</v>
      </c>
      <c r="C114" s="170"/>
      <c r="D114" s="170"/>
      <c r="E114" s="170"/>
      <c r="F114" s="170"/>
      <c r="G114" s="170"/>
      <c r="H114" s="170"/>
      <c r="I114" s="172"/>
      <c r="J114" s="171"/>
      <c r="K114" s="170"/>
      <c r="L114" s="170"/>
      <c r="M114" s="170"/>
      <c r="N114" s="170"/>
      <c r="O114" s="170"/>
      <c r="P114" s="232">
        <f>+R106+R114</f>
        <v>290</v>
      </c>
      <c r="Q114" s="168">
        <f>+R107</f>
        <v>-24</v>
      </c>
      <c r="R114" s="168">
        <f>+R108</f>
        <v>-12</v>
      </c>
      <c r="S114" s="167">
        <f>+R114</f>
        <v>-12</v>
      </c>
      <c r="T114" s="166">
        <f t="shared" ref="T114:T119" si="27">+R114/Q114</f>
        <v>0.5</v>
      </c>
    </row>
    <row r="115" spans="1:22" x14ac:dyDescent="0.2">
      <c r="B115" s="163"/>
      <c r="C115" s="160"/>
      <c r="D115" s="160"/>
      <c r="E115" s="160"/>
      <c r="F115" s="160"/>
      <c r="G115" s="160"/>
      <c r="H115" s="160"/>
      <c r="I115" s="165"/>
      <c r="J115" s="161"/>
      <c r="K115" s="160"/>
      <c r="L115" s="160"/>
      <c r="M115" s="160"/>
      <c r="N115" s="160"/>
      <c r="O115" s="160"/>
      <c r="P115" s="159">
        <f t="shared" ref="P115:P120" si="28">+P114+R115</f>
        <v>290</v>
      </c>
      <c r="Q115" s="158"/>
      <c r="R115" s="158"/>
      <c r="S115" s="157">
        <f t="shared" ref="S115:S120" si="29">+S114+R115</f>
        <v>-12</v>
      </c>
      <c r="T115" s="164" t="e">
        <f t="shared" si="27"/>
        <v>#DIV/0!</v>
      </c>
    </row>
    <row r="116" spans="1:22" x14ac:dyDescent="0.2">
      <c r="B116" s="163"/>
      <c r="C116" s="160"/>
      <c r="D116" s="160"/>
      <c r="E116" s="160"/>
      <c r="F116" s="160"/>
      <c r="G116" s="160"/>
      <c r="H116" s="160"/>
      <c r="I116" s="162"/>
      <c r="J116" s="161"/>
      <c r="K116" s="160"/>
      <c r="L116" s="160"/>
      <c r="M116" s="160"/>
      <c r="N116" s="160"/>
      <c r="O116" s="160"/>
      <c r="P116" s="159">
        <f t="shared" si="28"/>
        <v>290</v>
      </c>
      <c r="Q116" s="158"/>
      <c r="R116" s="158"/>
      <c r="S116" s="157">
        <f t="shared" si="29"/>
        <v>-12</v>
      </c>
      <c r="T116" s="164" t="e">
        <f t="shared" si="27"/>
        <v>#DIV/0!</v>
      </c>
    </row>
    <row r="117" spans="1:22" x14ac:dyDescent="0.2">
      <c r="B117" s="163"/>
      <c r="C117" s="160"/>
      <c r="D117" s="160"/>
      <c r="E117" s="160"/>
      <c r="F117" s="160"/>
      <c r="G117" s="160"/>
      <c r="H117" s="160"/>
      <c r="I117" s="162"/>
      <c r="J117" s="161"/>
      <c r="K117" s="160"/>
      <c r="L117" s="160"/>
      <c r="M117" s="160"/>
      <c r="N117" s="160"/>
      <c r="O117" s="160"/>
      <c r="P117" s="159">
        <f t="shared" si="28"/>
        <v>290</v>
      </c>
      <c r="Q117" s="158"/>
      <c r="R117" s="158"/>
      <c r="S117" s="157">
        <f t="shared" si="29"/>
        <v>-12</v>
      </c>
      <c r="T117" s="164" t="e">
        <f t="shared" si="27"/>
        <v>#DIV/0!</v>
      </c>
    </row>
    <row r="118" spans="1:22" x14ac:dyDescent="0.2">
      <c r="B118" s="163"/>
      <c r="C118" s="160"/>
      <c r="D118" s="160"/>
      <c r="E118" s="160"/>
      <c r="F118" s="160"/>
      <c r="G118" s="160"/>
      <c r="H118" s="160"/>
      <c r="I118" s="162"/>
      <c r="J118" s="161"/>
      <c r="K118" s="160"/>
      <c r="L118" s="160"/>
      <c r="M118" s="160"/>
      <c r="N118" s="160"/>
      <c r="O118" s="160"/>
      <c r="P118" s="159">
        <f t="shared" si="28"/>
        <v>290</v>
      </c>
      <c r="Q118" s="158"/>
      <c r="R118" s="158"/>
      <c r="S118" s="157">
        <f t="shared" si="29"/>
        <v>-12</v>
      </c>
      <c r="T118" s="164" t="e">
        <f t="shared" si="27"/>
        <v>#DIV/0!</v>
      </c>
    </row>
    <row r="119" spans="1:22" ht="16" thickBot="1" x14ac:dyDescent="0.25">
      <c r="B119" s="163"/>
      <c r="C119" s="160"/>
      <c r="D119" s="160"/>
      <c r="E119" s="160"/>
      <c r="F119" s="160"/>
      <c r="G119" s="160"/>
      <c r="H119" s="160"/>
      <c r="I119" s="162"/>
      <c r="J119" s="161"/>
      <c r="K119" s="160"/>
      <c r="L119" s="160"/>
      <c r="M119" s="160"/>
      <c r="N119" s="160"/>
      <c r="O119" s="160"/>
      <c r="P119" s="159">
        <f t="shared" si="28"/>
        <v>290</v>
      </c>
      <c r="Q119" s="158"/>
      <c r="R119" s="158"/>
      <c r="S119" s="157">
        <f t="shared" si="29"/>
        <v>-12</v>
      </c>
      <c r="T119" s="156" t="e">
        <f t="shared" si="27"/>
        <v>#DIV/0!</v>
      </c>
    </row>
    <row r="120" spans="1:22" ht="16" thickBot="1" x14ac:dyDescent="0.25">
      <c r="B120" s="155"/>
      <c r="C120" s="152"/>
      <c r="D120" s="152"/>
      <c r="E120" s="152"/>
      <c r="F120" s="152"/>
      <c r="G120" s="152"/>
      <c r="H120" s="152"/>
      <c r="I120" s="154"/>
      <c r="J120" s="153"/>
      <c r="K120" s="152"/>
      <c r="L120" s="152"/>
      <c r="M120" s="152"/>
      <c r="N120" s="152"/>
      <c r="O120" s="152"/>
      <c r="P120" s="151">
        <f t="shared" si="28"/>
        <v>290</v>
      </c>
      <c r="Q120" s="150"/>
      <c r="R120" s="150"/>
      <c r="S120" s="149">
        <f t="shared" si="29"/>
        <v>-12</v>
      </c>
      <c r="T120" s="148"/>
    </row>
    <row r="121" spans="1:22" ht="16" thickBot="1" x14ac:dyDescent="0.25"/>
    <row r="122" spans="1:22" ht="16" thickBot="1" x14ac:dyDescent="0.25">
      <c r="A122" s="37"/>
      <c r="B122" s="87" t="s">
        <v>127</v>
      </c>
      <c r="C122" s="225" t="s">
        <v>102</v>
      </c>
      <c r="D122" s="224" t="s">
        <v>126</v>
      </c>
      <c r="E122" s="224"/>
      <c r="F122" s="224"/>
      <c r="G122" s="223" t="s">
        <v>100</v>
      </c>
      <c r="H122" s="222">
        <v>73.760000000000005</v>
      </c>
      <c r="I122" s="224" t="s">
        <v>125</v>
      </c>
      <c r="J122" s="230"/>
      <c r="K122" s="69" t="s">
        <v>124</v>
      </c>
      <c r="L122" s="47"/>
      <c r="M122" s="47"/>
      <c r="N122" s="90"/>
      <c r="O122" s="70"/>
      <c r="P122" s="71"/>
      <c r="Q122" s="218"/>
      <c r="R122" s="84"/>
      <c r="S122" s="47"/>
      <c r="T122" s="48"/>
    </row>
    <row r="123" spans="1:22" x14ac:dyDescent="0.2">
      <c r="A123" s="37"/>
      <c r="B123" s="12" t="s">
        <v>97</v>
      </c>
      <c r="C123" s="11" t="s">
        <v>91</v>
      </c>
      <c r="D123" s="214">
        <v>65</v>
      </c>
      <c r="E123" s="201" t="s">
        <v>10</v>
      </c>
      <c r="F123" s="215"/>
      <c r="G123" s="203"/>
      <c r="H123" s="44">
        <v>-7.4</v>
      </c>
      <c r="I123" s="203"/>
      <c r="J123" s="217"/>
      <c r="K123" s="209" t="s">
        <v>23</v>
      </c>
      <c r="L123" s="216" t="s">
        <v>0</v>
      </c>
      <c r="M123" s="196">
        <v>30</v>
      </c>
      <c r="N123" s="196"/>
      <c r="O123" s="194">
        <f t="shared" ref="O123:O128" si="30">+M123*100</f>
        <v>3000</v>
      </c>
      <c r="P123" s="193">
        <f>+H123</f>
        <v>-7.4</v>
      </c>
      <c r="Q123" s="192">
        <f t="shared" ref="Q123:Q128" si="31">+O123*P123-12</f>
        <v>-22212</v>
      </c>
      <c r="R123" s="80">
        <f>+Q123+Q124+Q126+Q128</f>
        <v>-5908</v>
      </c>
      <c r="S123" s="53" t="s">
        <v>96</v>
      </c>
      <c r="T123" s="56"/>
    </row>
    <row r="124" spans="1:22" x14ac:dyDescent="0.2">
      <c r="A124" s="37"/>
      <c r="B124" s="12" t="s">
        <v>7</v>
      </c>
      <c r="C124" s="10" t="s">
        <v>86</v>
      </c>
      <c r="D124" s="215"/>
      <c r="E124" s="203"/>
      <c r="F124" s="202">
        <v>72.5</v>
      </c>
      <c r="G124" s="201" t="s">
        <v>10</v>
      </c>
      <c r="H124" s="51"/>
      <c r="I124" s="200">
        <v>3.58</v>
      </c>
      <c r="J124" s="199"/>
      <c r="K124" s="198" t="s">
        <v>17</v>
      </c>
      <c r="L124" s="197" t="s">
        <v>0</v>
      </c>
      <c r="M124" s="196">
        <v>30</v>
      </c>
      <c r="N124" s="196"/>
      <c r="O124" s="194">
        <f t="shared" si="30"/>
        <v>3000</v>
      </c>
      <c r="P124" s="193">
        <f>+I124</f>
        <v>3.58</v>
      </c>
      <c r="Q124" s="192">
        <f t="shared" si="31"/>
        <v>10728</v>
      </c>
      <c r="R124" s="80">
        <f>+Q125+Q127</f>
        <v>8976</v>
      </c>
      <c r="S124" s="53" t="s">
        <v>95</v>
      </c>
      <c r="T124" s="56"/>
    </row>
    <row r="125" spans="1:22" x14ac:dyDescent="0.2">
      <c r="A125" s="37"/>
      <c r="B125" s="12" t="s">
        <v>94</v>
      </c>
      <c r="C125" s="10" t="s">
        <v>86</v>
      </c>
      <c r="D125" s="215"/>
      <c r="E125" s="203"/>
      <c r="F125" s="202">
        <v>70</v>
      </c>
      <c r="G125" s="201" t="s">
        <v>123</v>
      </c>
      <c r="H125" s="51"/>
      <c r="I125" s="200">
        <v>4</v>
      </c>
      <c r="J125" s="199">
        <f>+((F124+D123)/2)-F125</f>
        <v>-1.25</v>
      </c>
      <c r="K125" s="198" t="s">
        <v>24</v>
      </c>
      <c r="L125" s="197" t="s">
        <v>0</v>
      </c>
      <c r="M125" s="196">
        <v>15</v>
      </c>
      <c r="N125" s="196"/>
      <c r="O125" s="194">
        <f t="shared" si="30"/>
        <v>1500</v>
      </c>
      <c r="P125" s="193">
        <f>+I125</f>
        <v>4</v>
      </c>
      <c r="Q125" s="192">
        <f t="shared" si="31"/>
        <v>5988</v>
      </c>
      <c r="R125" s="80">
        <f>+R124/2</f>
        <v>4488</v>
      </c>
      <c r="S125" s="53" t="s">
        <v>93</v>
      </c>
      <c r="T125" s="56"/>
      <c r="U125" s="40">
        <f>IF(J125&lt;0,0,+O125*-J125)</f>
        <v>0</v>
      </c>
      <c r="V125" s="36" t="s">
        <v>92</v>
      </c>
    </row>
    <row r="126" spans="1:22" x14ac:dyDescent="0.2">
      <c r="A126" s="37"/>
      <c r="B126" s="205" t="s">
        <v>87</v>
      </c>
      <c r="C126" s="11" t="s">
        <v>91</v>
      </c>
      <c r="D126" s="214"/>
      <c r="E126" s="201" t="s">
        <v>10</v>
      </c>
      <c r="F126" s="213"/>
      <c r="G126" s="212"/>
      <c r="H126" s="44"/>
      <c r="I126" s="211"/>
      <c r="J126" s="210"/>
      <c r="K126" s="209" t="s">
        <v>90</v>
      </c>
      <c r="L126" s="208" t="s">
        <v>1</v>
      </c>
      <c r="M126" s="196"/>
      <c r="N126" s="196"/>
      <c r="O126" s="194">
        <f t="shared" si="30"/>
        <v>0</v>
      </c>
      <c r="P126" s="193">
        <f>+H126</f>
        <v>0</v>
      </c>
      <c r="Q126" s="192">
        <f t="shared" si="31"/>
        <v>-12</v>
      </c>
      <c r="R126" s="207"/>
      <c r="S126" s="53"/>
      <c r="T126" s="56"/>
    </row>
    <row r="127" spans="1:22" x14ac:dyDescent="0.2">
      <c r="A127" s="37"/>
      <c r="B127" s="205" t="s">
        <v>89</v>
      </c>
      <c r="C127" s="10" t="s">
        <v>86</v>
      </c>
      <c r="D127" s="204"/>
      <c r="E127" s="203"/>
      <c r="F127" s="202">
        <v>70</v>
      </c>
      <c r="G127" s="201" t="s">
        <v>123</v>
      </c>
      <c r="H127" s="51"/>
      <c r="I127" s="200">
        <v>2</v>
      </c>
      <c r="J127" s="199">
        <f>IF(F127=0,0,+F127-D126)</f>
        <v>70</v>
      </c>
      <c r="K127" s="198" t="s">
        <v>24</v>
      </c>
      <c r="L127" s="197" t="s">
        <v>1</v>
      </c>
      <c r="M127" s="196">
        <v>15</v>
      </c>
      <c r="N127" s="196"/>
      <c r="O127" s="194">
        <f t="shared" si="30"/>
        <v>1500</v>
      </c>
      <c r="P127" s="193">
        <f>+I127</f>
        <v>2</v>
      </c>
      <c r="Q127" s="192">
        <f t="shared" si="31"/>
        <v>2988</v>
      </c>
      <c r="R127" s="206">
        <f>-R123/R125</f>
        <v>1.3163992869875223</v>
      </c>
      <c r="S127" s="53" t="s">
        <v>88</v>
      </c>
      <c r="T127" s="56"/>
      <c r="U127" s="40">
        <f>IF(J127&lt;0,0,+O127*-J127)</f>
        <v>-105000</v>
      </c>
      <c r="V127" s="36" t="s">
        <v>83</v>
      </c>
    </row>
    <row r="128" spans="1:22" x14ac:dyDescent="0.2">
      <c r="A128" s="37"/>
      <c r="B128" s="205" t="s">
        <v>87</v>
      </c>
      <c r="C128" s="10" t="s">
        <v>86</v>
      </c>
      <c r="D128" s="204"/>
      <c r="E128" s="203"/>
      <c r="F128" s="202">
        <v>55</v>
      </c>
      <c r="G128" s="201" t="s">
        <v>10</v>
      </c>
      <c r="H128" s="51"/>
      <c r="I128" s="200">
        <v>5.6</v>
      </c>
      <c r="J128" s="199">
        <f>IF(F128=0,0,+F128-D126)</f>
        <v>55</v>
      </c>
      <c r="K128" s="198" t="s">
        <v>17</v>
      </c>
      <c r="L128" s="197" t="s">
        <v>1</v>
      </c>
      <c r="M128" s="196">
        <v>10</v>
      </c>
      <c r="N128" s="196"/>
      <c r="O128" s="194">
        <f t="shared" si="30"/>
        <v>1000</v>
      </c>
      <c r="P128" s="193">
        <f>+I128</f>
        <v>5.6</v>
      </c>
      <c r="Q128" s="192">
        <f t="shared" si="31"/>
        <v>5588</v>
      </c>
      <c r="R128" s="80">
        <f>+R125*6</f>
        <v>26928</v>
      </c>
      <c r="S128" s="53" t="s">
        <v>84</v>
      </c>
      <c r="T128" s="56"/>
      <c r="U128" s="40">
        <f>IF(J128&lt;0,0,+O128*-J128)</f>
        <v>-55000</v>
      </c>
      <c r="V128" s="36" t="s">
        <v>83</v>
      </c>
    </row>
    <row r="129" spans="1:22" ht="16" thickBot="1" x14ac:dyDescent="0.25">
      <c r="A129" s="37"/>
      <c r="B129" s="58"/>
      <c r="C129" s="59"/>
      <c r="D129" s="60"/>
      <c r="E129" s="60"/>
      <c r="F129" s="21" t="s">
        <v>14</v>
      </c>
      <c r="G129" s="60"/>
      <c r="H129" s="191">
        <f>SUM(H123:H126)</f>
        <v>-7.4</v>
      </c>
      <c r="I129" s="22">
        <f>SUM(I124:I128)</f>
        <v>15.18</v>
      </c>
      <c r="J129" s="190">
        <f>+I129+H129</f>
        <v>7.7799999999999994</v>
      </c>
      <c r="K129" s="62"/>
      <c r="L129" s="63"/>
      <c r="M129" s="67"/>
      <c r="N129" s="85"/>
      <c r="O129" s="64"/>
      <c r="P129" s="144" t="s">
        <v>82</v>
      </c>
      <c r="Q129" s="189">
        <f>SUM(Q123:Q128)</f>
        <v>3068</v>
      </c>
      <c r="R129" s="226">
        <f>+R128/-R123</f>
        <v>4.5578876100203116</v>
      </c>
      <c r="S129" s="64" t="s">
        <v>81</v>
      </c>
      <c r="T129" s="66"/>
    </row>
    <row r="130" spans="1:22" ht="16" thickBot="1" x14ac:dyDescent="0.25">
      <c r="A130" s="37"/>
      <c r="B130" s="87" t="s">
        <v>122</v>
      </c>
      <c r="C130" s="225" t="s">
        <v>102</v>
      </c>
      <c r="D130" s="224" t="s">
        <v>106</v>
      </c>
      <c r="E130" s="224"/>
      <c r="F130" s="224"/>
      <c r="G130" s="223" t="s">
        <v>100</v>
      </c>
      <c r="H130" s="222">
        <v>69</v>
      </c>
      <c r="I130" s="231" t="s">
        <v>121</v>
      </c>
      <c r="J130" s="230"/>
      <c r="K130" s="229" t="s">
        <v>120</v>
      </c>
      <c r="L130" s="47"/>
      <c r="M130" s="47"/>
      <c r="N130" s="90"/>
      <c r="O130" s="70"/>
      <c r="P130" s="71"/>
      <c r="Q130" s="218"/>
      <c r="R130" s="84"/>
      <c r="S130" s="47"/>
      <c r="T130" s="48"/>
    </row>
    <row r="131" spans="1:22" x14ac:dyDescent="0.2">
      <c r="A131" s="37"/>
      <c r="B131" s="12" t="s">
        <v>97</v>
      </c>
      <c r="C131" s="11" t="s">
        <v>91</v>
      </c>
      <c r="D131" s="202">
        <v>65</v>
      </c>
      <c r="E131" s="201" t="s">
        <v>10</v>
      </c>
      <c r="F131" s="215"/>
      <c r="G131" s="203"/>
      <c r="H131" s="44">
        <v>-7.5</v>
      </c>
      <c r="I131" s="203"/>
      <c r="J131" s="217"/>
      <c r="K131" s="209" t="s">
        <v>16</v>
      </c>
      <c r="L131" s="216" t="s">
        <v>0</v>
      </c>
      <c r="M131" s="196">
        <v>20</v>
      </c>
      <c r="N131" s="195">
        <v>0</v>
      </c>
      <c r="O131" s="194">
        <f t="shared" ref="O131:O136" si="32">+M131*100</f>
        <v>2000</v>
      </c>
      <c r="P131" s="193">
        <f>+H131</f>
        <v>-7.5</v>
      </c>
      <c r="Q131" s="192">
        <f t="shared" ref="Q131:Q136" si="33">+O131*P131-12</f>
        <v>-15012</v>
      </c>
      <c r="R131" s="80">
        <f>+Q131+Q132+Q134+Q136</f>
        <v>-5758</v>
      </c>
      <c r="S131" s="53" t="s">
        <v>96</v>
      </c>
      <c r="T131" s="56"/>
    </row>
    <row r="132" spans="1:22" x14ac:dyDescent="0.2">
      <c r="A132" s="37"/>
      <c r="B132" s="12" t="s">
        <v>7</v>
      </c>
      <c r="C132" s="10" t="s">
        <v>86</v>
      </c>
      <c r="D132" s="215"/>
      <c r="E132" s="203"/>
      <c r="F132" s="202">
        <v>72.5</v>
      </c>
      <c r="G132" s="201" t="s">
        <v>10</v>
      </c>
      <c r="H132" s="51"/>
      <c r="I132" s="200">
        <v>3.62</v>
      </c>
      <c r="J132" s="199"/>
      <c r="K132" s="198" t="s">
        <v>17</v>
      </c>
      <c r="L132" s="197" t="s">
        <v>0</v>
      </c>
      <c r="M132" s="196">
        <v>20</v>
      </c>
      <c r="N132" s="195">
        <v>0</v>
      </c>
      <c r="O132" s="194">
        <f t="shared" si="32"/>
        <v>2000</v>
      </c>
      <c r="P132" s="193">
        <f>+I132</f>
        <v>3.62</v>
      </c>
      <c r="Q132" s="192">
        <f t="shared" si="33"/>
        <v>7228</v>
      </c>
      <c r="R132" s="80">
        <f>+Q133+Q135</f>
        <v>4126</v>
      </c>
      <c r="S132" s="53" t="s">
        <v>95</v>
      </c>
      <c r="T132" s="56"/>
    </row>
    <row r="133" spans="1:22" x14ac:dyDescent="0.2">
      <c r="A133" s="37"/>
      <c r="B133" s="12" t="s">
        <v>94</v>
      </c>
      <c r="C133" s="10" t="s">
        <v>86</v>
      </c>
      <c r="D133" s="215"/>
      <c r="E133" s="203"/>
      <c r="F133" s="202">
        <v>70</v>
      </c>
      <c r="G133" s="201" t="s">
        <v>73</v>
      </c>
      <c r="H133" s="51"/>
      <c r="I133" s="200">
        <v>1.1499999999999999</v>
      </c>
      <c r="J133" s="199">
        <f>+((F132+D131)/2)-F133</f>
        <v>-1.25</v>
      </c>
      <c r="K133" s="198" t="s">
        <v>17</v>
      </c>
      <c r="L133" s="197" t="s">
        <v>0</v>
      </c>
      <c r="M133" s="196">
        <v>10</v>
      </c>
      <c r="N133" s="195">
        <v>0</v>
      </c>
      <c r="O133" s="194">
        <f t="shared" si="32"/>
        <v>1000</v>
      </c>
      <c r="P133" s="193">
        <f>+I133</f>
        <v>1.1499999999999999</v>
      </c>
      <c r="Q133" s="192">
        <f t="shared" si="33"/>
        <v>1138</v>
      </c>
      <c r="R133" s="80">
        <f>+R132/2</f>
        <v>2063</v>
      </c>
      <c r="S133" s="53" t="s">
        <v>93</v>
      </c>
      <c r="T133" s="56"/>
      <c r="U133" s="40">
        <f>IF(J133&lt;0,0,+O133*-J133)</f>
        <v>0</v>
      </c>
      <c r="V133" s="36" t="s">
        <v>92</v>
      </c>
    </row>
    <row r="134" spans="1:22" x14ac:dyDescent="0.2">
      <c r="A134" s="37"/>
      <c r="B134" s="205" t="s">
        <v>87</v>
      </c>
      <c r="C134" s="11" t="s">
        <v>91</v>
      </c>
      <c r="D134" s="214"/>
      <c r="E134" s="201" t="s">
        <v>10</v>
      </c>
      <c r="F134" s="213"/>
      <c r="G134" s="212"/>
      <c r="H134" s="44"/>
      <c r="I134" s="211"/>
      <c r="J134" s="210"/>
      <c r="K134" s="209" t="s">
        <v>23</v>
      </c>
      <c r="L134" s="208" t="s">
        <v>1</v>
      </c>
      <c r="M134" s="196"/>
      <c r="N134" s="195"/>
      <c r="O134" s="194">
        <f t="shared" si="32"/>
        <v>0</v>
      </c>
      <c r="P134" s="193">
        <f>+H134</f>
        <v>0</v>
      </c>
      <c r="Q134" s="192">
        <f t="shared" si="33"/>
        <v>-12</v>
      </c>
      <c r="R134" s="207"/>
      <c r="S134" s="53"/>
      <c r="T134" s="56"/>
    </row>
    <row r="135" spans="1:22" x14ac:dyDescent="0.2">
      <c r="A135" s="37"/>
      <c r="B135" s="205" t="s">
        <v>89</v>
      </c>
      <c r="C135" s="10" t="s">
        <v>86</v>
      </c>
      <c r="D135" s="204"/>
      <c r="E135" s="203"/>
      <c r="F135" s="202">
        <v>70</v>
      </c>
      <c r="G135" s="201" t="s">
        <v>73</v>
      </c>
      <c r="H135" s="51"/>
      <c r="I135" s="200">
        <v>3</v>
      </c>
      <c r="J135" s="199">
        <f>IF(F135=0,0,+F135-D134)</f>
        <v>70</v>
      </c>
      <c r="K135" s="198" t="s">
        <v>85</v>
      </c>
      <c r="L135" s="197" t="s">
        <v>1</v>
      </c>
      <c r="M135" s="196">
        <v>10</v>
      </c>
      <c r="N135" s="195">
        <v>0</v>
      </c>
      <c r="O135" s="194">
        <f t="shared" si="32"/>
        <v>1000</v>
      </c>
      <c r="P135" s="193">
        <f>+I135</f>
        <v>3</v>
      </c>
      <c r="Q135" s="192">
        <f t="shared" si="33"/>
        <v>2988</v>
      </c>
      <c r="R135" s="206">
        <f>-R131/R133</f>
        <v>2.7910809500727098</v>
      </c>
      <c r="S135" s="53" t="s">
        <v>88</v>
      </c>
      <c r="T135" s="56"/>
      <c r="U135" s="40">
        <f>IF(J135&lt;0,0,+O135*-J135)</f>
        <v>-70000</v>
      </c>
      <c r="V135" s="36" t="s">
        <v>83</v>
      </c>
    </row>
    <row r="136" spans="1:22" x14ac:dyDescent="0.2">
      <c r="A136" s="37"/>
      <c r="B136" s="205" t="s">
        <v>87</v>
      </c>
      <c r="C136" s="10" t="s">
        <v>86</v>
      </c>
      <c r="D136" s="204"/>
      <c r="E136" s="203"/>
      <c r="F136" s="202">
        <v>55</v>
      </c>
      <c r="G136" s="201" t="s">
        <v>10</v>
      </c>
      <c r="H136" s="51"/>
      <c r="I136" s="200">
        <v>2.0499999999999998</v>
      </c>
      <c r="J136" s="199">
        <f>IF(F136=0,0,+F136-D134)</f>
        <v>55</v>
      </c>
      <c r="K136" s="198" t="s">
        <v>119</v>
      </c>
      <c r="L136" s="197" t="s">
        <v>1</v>
      </c>
      <c r="M136" s="196">
        <v>10</v>
      </c>
      <c r="N136" s="195">
        <v>0</v>
      </c>
      <c r="O136" s="194">
        <f t="shared" si="32"/>
        <v>1000</v>
      </c>
      <c r="P136" s="193">
        <f>+I136</f>
        <v>2.0499999999999998</v>
      </c>
      <c r="Q136" s="192">
        <f t="shared" si="33"/>
        <v>2038</v>
      </c>
      <c r="R136" s="80">
        <f>+R133*6</f>
        <v>12378</v>
      </c>
      <c r="S136" s="53" t="s">
        <v>84</v>
      </c>
      <c r="T136" s="56"/>
      <c r="U136" s="40">
        <f>IF(J136&lt;0,0,+O136*-J136)</f>
        <v>-55000</v>
      </c>
      <c r="V136" s="36" t="s">
        <v>83</v>
      </c>
    </row>
    <row r="137" spans="1:22" ht="16" thickBot="1" x14ac:dyDescent="0.25">
      <c r="A137" s="37"/>
      <c r="B137" s="58"/>
      <c r="C137" s="59"/>
      <c r="D137" s="60"/>
      <c r="E137" s="60"/>
      <c r="F137" s="21" t="s">
        <v>14</v>
      </c>
      <c r="G137" s="60"/>
      <c r="H137" s="191">
        <f>SUM(H131:H134)</f>
        <v>-7.5</v>
      </c>
      <c r="I137" s="22">
        <f>SUM(I132:I136)</f>
        <v>9.82</v>
      </c>
      <c r="J137" s="190">
        <f>+I137+H137</f>
        <v>2.3200000000000003</v>
      </c>
      <c r="K137" s="62"/>
      <c r="L137" s="63"/>
      <c r="M137" s="67"/>
      <c r="N137" s="85"/>
      <c r="O137" s="64"/>
      <c r="P137" s="144" t="s">
        <v>82</v>
      </c>
      <c r="Q137" s="189">
        <f>SUM(Q131:Q136)</f>
        <v>-1632</v>
      </c>
      <c r="R137" s="226">
        <f>+R136/-R131</f>
        <v>2.149704758596735</v>
      </c>
      <c r="S137" s="64" t="s">
        <v>81</v>
      </c>
      <c r="T137" s="66"/>
    </row>
    <row r="138" spans="1:22" ht="20" thickBot="1" x14ac:dyDescent="0.3">
      <c r="A138" s="37"/>
      <c r="B138" s="187" t="s">
        <v>80</v>
      </c>
      <c r="C138" s="186"/>
      <c r="D138" s="185"/>
      <c r="E138" s="185"/>
      <c r="F138" s="184"/>
      <c r="G138" s="290" t="s">
        <v>79</v>
      </c>
      <c r="H138" s="291"/>
      <c r="I138" s="291"/>
      <c r="J138" s="291"/>
      <c r="K138" s="183"/>
      <c r="L138" s="183"/>
      <c r="M138" s="182"/>
      <c r="N138" s="181"/>
      <c r="O138" s="180"/>
      <c r="P138" s="179" t="s">
        <v>78</v>
      </c>
      <c r="Q138" s="178" t="s">
        <v>77</v>
      </c>
      <c r="R138" s="177" t="s">
        <v>76</v>
      </c>
      <c r="S138" s="176" t="s">
        <v>75</v>
      </c>
      <c r="T138" s="175" t="s">
        <v>74</v>
      </c>
      <c r="U138" s="174"/>
    </row>
    <row r="139" spans="1:22" x14ac:dyDescent="0.2">
      <c r="B139" s="173" t="s">
        <v>73</v>
      </c>
      <c r="C139" s="170"/>
      <c r="D139" s="170"/>
      <c r="E139" s="170"/>
      <c r="F139" s="170"/>
      <c r="G139" s="170"/>
      <c r="H139" s="170"/>
      <c r="I139" s="172"/>
      <c r="J139" s="171"/>
      <c r="K139" s="170"/>
      <c r="L139" s="170"/>
      <c r="M139" s="170"/>
      <c r="N139" s="170"/>
      <c r="O139" s="170"/>
      <c r="P139" s="169">
        <f>+R131+R139</f>
        <v>-5758</v>
      </c>
      <c r="Q139" s="168"/>
      <c r="R139" s="168"/>
      <c r="S139" s="167">
        <f>+R139</f>
        <v>0</v>
      </c>
      <c r="T139" s="166" t="e">
        <f t="shared" ref="T139:T144" si="34">+R139/Q139</f>
        <v>#DIV/0!</v>
      </c>
    </row>
    <row r="140" spans="1:22" x14ac:dyDescent="0.2">
      <c r="B140" s="163"/>
      <c r="C140" s="160"/>
      <c r="D140" s="160"/>
      <c r="E140" s="160"/>
      <c r="F140" s="160"/>
      <c r="G140" s="160"/>
      <c r="H140" s="160"/>
      <c r="I140" s="165"/>
      <c r="J140" s="161"/>
      <c r="K140" s="160"/>
      <c r="L140" s="160"/>
      <c r="M140" s="160"/>
      <c r="N140" s="160"/>
      <c r="O140" s="160"/>
      <c r="P140" s="159">
        <f t="shared" ref="P140:P145" si="35">+P139+R140</f>
        <v>-5758</v>
      </c>
      <c r="Q140" s="158"/>
      <c r="R140" s="158"/>
      <c r="S140" s="157">
        <f t="shared" ref="S140:S145" si="36">+S139+R140</f>
        <v>0</v>
      </c>
      <c r="T140" s="164" t="e">
        <f t="shared" si="34"/>
        <v>#DIV/0!</v>
      </c>
    </row>
    <row r="141" spans="1:22" x14ac:dyDescent="0.2">
      <c r="B141" s="163"/>
      <c r="C141" s="160"/>
      <c r="D141" s="160"/>
      <c r="E141" s="160"/>
      <c r="F141" s="160"/>
      <c r="G141" s="160"/>
      <c r="H141" s="160"/>
      <c r="I141" s="162"/>
      <c r="J141" s="161"/>
      <c r="K141" s="160"/>
      <c r="L141" s="160"/>
      <c r="M141" s="160"/>
      <c r="N141" s="160"/>
      <c r="O141" s="160"/>
      <c r="P141" s="159">
        <f t="shared" si="35"/>
        <v>-5758</v>
      </c>
      <c r="Q141" s="158"/>
      <c r="R141" s="158"/>
      <c r="S141" s="157">
        <f t="shared" si="36"/>
        <v>0</v>
      </c>
      <c r="T141" s="164" t="e">
        <f t="shared" si="34"/>
        <v>#DIV/0!</v>
      </c>
    </row>
    <row r="142" spans="1:22" x14ac:dyDescent="0.2">
      <c r="B142" s="163"/>
      <c r="C142" s="160"/>
      <c r="D142" s="160"/>
      <c r="E142" s="160"/>
      <c r="F142" s="160"/>
      <c r="G142" s="160"/>
      <c r="H142" s="160"/>
      <c r="I142" s="162"/>
      <c r="J142" s="161"/>
      <c r="K142" s="160"/>
      <c r="L142" s="160"/>
      <c r="M142" s="160"/>
      <c r="N142" s="160"/>
      <c r="O142" s="160"/>
      <c r="P142" s="159">
        <f t="shared" si="35"/>
        <v>-5758</v>
      </c>
      <c r="Q142" s="158"/>
      <c r="R142" s="158"/>
      <c r="S142" s="157">
        <f t="shared" si="36"/>
        <v>0</v>
      </c>
      <c r="T142" s="164" t="e">
        <f t="shared" si="34"/>
        <v>#DIV/0!</v>
      </c>
    </row>
    <row r="143" spans="1:22" x14ac:dyDescent="0.2">
      <c r="B143" s="163"/>
      <c r="C143" s="160"/>
      <c r="D143" s="160"/>
      <c r="E143" s="160"/>
      <c r="F143" s="160"/>
      <c r="G143" s="160"/>
      <c r="H143" s="160"/>
      <c r="I143" s="162"/>
      <c r="J143" s="161"/>
      <c r="K143" s="160"/>
      <c r="L143" s="160"/>
      <c r="M143" s="160"/>
      <c r="N143" s="160"/>
      <c r="O143" s="160"/>
      <c r="P143" s="159">
        <f t="shared" si="35"/>
        <v>-5758</v>
      </c>
      <c r="Q143" s="158"/>
      <c r="R143" s="158"/>
      <c r="S143" s="157">
        <f t="shared" si="36"/>
        <v>0</v>
      </c>
      <c r="T143" s="164" t="e">
        <f t="shared" si="34"/>
        <v>#DIV/0!</v>
      </c>
    </row>
    <row r="144" spans="1:22" ht="16" thickBot="1" x14ac:dyDescent="0.25">
      <c r="B144" s="163"/>
      <c r="C144" s="160"/>
      <c r="D144" s="160"/>
      <c r="E144" s="160"/>
      <c r="F144" s="160"/>
      <c r="G144" s="160"/>
      <c r="H144" s="160"/>
      <c r="I144" s="162"/>
      <c r="J144" s="161"/>
      <c r="K144" s="160"/>
      <c r="L144" s="160"/>
      <c r="M144" s="160"/>
      <c r="N144" s="160"/>
      <c r="O144" s="160"/>
      <c r="P144" s="159">
        <f t="shared" si="35"/>
        <v>-5758</v>
      </c>
      <c r="Q144" s="158"/>
      <c r="R144" s="158"/>
      <c r="S144" s="157">
        <f t="shared" si="36"/>
        <v>0</v>
      </c>
      <c r="T144" s="156" t="e">
        <f t="shared" si="34"/>
        <v>#DIV/0!</v>
      </c>
    </row>
    <row r="145" spans="1:22" ht="16" thickBot="1" x14ac:dyDescent="0.25">
      <c r="B145" s="155"/>
      <c r="C145" s="152"/>
      <c r="D145" s="152"/>
      <c r="E145" s="152"/>
      <c r="F145" s="152"/>
      <c r="G145" s="152"/>
      <c r="H145" s="152"/>
      <c r="I145" s="154"/>
      <c r="J145" s="153"/>
      <c r="K145" s="152"/>
      <c r="L145" s="152"/>
      <c r="M145" s="152"/>
      <c r="N145" s="152"/>
      <c r="O145" s="152"/>
      <c r="P145" s="151">
        <f t="shared" si="35"/>
        <v>-5758</v>
      </c>
      <c r="Q145" s="150"/>
      <c r="R145" s="150"/>
      <c r="S145" s="149">
        <f t="shared" si="36"/>
        <v>0</v>
      </c>
      <c r="T145" s="148"/>
    </row>
    <row r="146" spans="1:22" ht="16" thickBot="1" x14ac:dyDescent="0.25"/>
    <row r="147" spans="1:22" ht="16" thickBot="1" x14ac:dyDescent="0.25">
      <c r="A147" s="37"/>
      <c r="B147" s="87" t="s">
        <v>118</v>
      </c>
      <c r="C147" s="225" t="s">
        <v>102</v>
      </c>
      <c r="D147" s="224" t="s">
        <v>116</v>
      </c>
      <c r="E147" s="224"/>
      <c r="F147" s="224"/>
      <c r="G147" s="223" t="s">
        <v>100</v>
      </c>
      <c r="H147" s="222">
        <v>60</v>
      </c>
      <c r="I147" s="221" t="s">
        <v>99</v>
      </c>
      <c r="J147" s="220"/>
      <c r="K147" s="219" t="s">
        <v>98</v>
      </c>
      <c r="L147" s="47"/>
      <c r="M147" s="47"/>
      <c r="N147" s="90"/>
      <c r="O147" s="70"/>
      <c r="P147" s="71"/>
      <c r="Q147" s="218"/>
      <c r="R147" s="84"/>
      <c r="S147" s="47"/>
      <c r="T147" s="48"/>
    </row>
    <row r="148" spans="1:22" x14ac:dyDescent="0.2">
      <c r="A148" s="37"/>
      <c r="B148" s="12" t="s">
        <v>97</v>
      </c>
      <c r="C148" s="11" t="s">
        <v>91</v>
      </c>
      <c r="D148" s="214">
        <v>55</v>
      </c>
      <c r="E148" s="201" t="s">
        <v>10</v>
      </c>
      <c r="F148" s="215"/>
      <c r="G148" s="203"/>
      <c r="H148" s="44">
        <v>-9.4</v>
      </c>
      <c r="I148" s="203"/>
      <c r="J148" s="217"/>
      <c r="K148" s="209" t="s">
        <v>23</v>
      </c>
      <c r="L148" s="216" t="s">
        <v>0</v>
      </c>
      <c r="M148" s="196">
        <v>10</v>
      </c>
      <c r="N148" s="196"/>
      <c r="O148" s="194">
        <f t="shared" ref="O148:O153" si="37">+M148*100</f>
        <v>1000</v>
      </c>
      <c r="P148" s="193">
        <f>+H148</f>
        <v>-9.4</v>
      </c>
      <c r="Q148" s="192">
        <f t="shared" ref="Q148:Q153" si="38">+O148*P148-12</f>
        <v>-9412</v>
      </c>
      <c r="R148" s="80">
        <f>+Q148+Q149+Q151+Q153</f>
        <v>-4148</v>
      </c>
      <c r="S148" s="53" t="s">
        <v>96</v>
      </c>
      <c r="T148" s="56"/>
    </row>
    <row r="149" spans="1:22" x14ac:dyDescent="0.2">
      <c r="A149" s="37"/>
      <c r="B149" s="12" t="s">
        <v>7</v>
      </c>
      <c r="C149" s="10" t="s">
        <v>86</v>
      </c>
      <c r="D149" s="215"/>
      <c r="E149" s="203"/>
      <c r="F149" s="202">
        <v>65</v>
      </c>
      <c r="G149" s="201" t="s">
        <v>10</v>
      </c>
      <c r="H149" s="51"/>
      <c r="I149" s="200">
        <v>5.3</v>
      </c>
      <c r="J149" s="199"/>
      <c r="K149" s="198" t="s">
        <v>17</v>
      </c>
      <c r="L149" s="197" t="s">
        <v>0</v>
      </c>
      <c r="M149" s="196">
        <v>10</v>
      </c>
      <c r="N149" s="196"/>
      <c r="O149" s="194">
        <f t="shared" si="37"/>
        <v>1000</v>
      </c>
      <c r="P149" s="193">
        <f>+I149</f>
        <v>5.3</v>
      </c>
      <c r="Q149" s="192">
        <f t="shared" si="38"/>
        <v>5288</v>
      </c>
      <c r="R149" s="80">
        <f>+Q150+Q152</f>
        <v>10676</v>
      </c>
      <c r="S149" s="53" t="s">
        <v>95</v>
      </c>
      <c r="T149" s="56"/>
    </row>
    <row r="150" spans="1:22" x14ac:dyDescent="0.2">
      <c r="A150" s="37"/>
      <c r="B150" s="12" t="s">
        <v>94</v>
      </c>
      <c r="C150" s="10" t="s">
        <v>86</v>
      </c>
      <c r="D150" s="215"/>
      <c r="E150" s="203"/>
      <c r="F150" s="202">
        <v>57.5</v>
      </c>
      <c r="G150" s="201" t="s">
        <v>73</v>
      </c>
      <c r="H150" s="51"/>
      <c r="I150" s="200">
        <v>9</v>
      </c>
      <c r="J150" s="199">
        <f>+((F149+D148)/2)-F150</f>
        <v>2.5</v>
      </c>
      <c r="K150" s="198" t="s">
        <v>24</v>
      </c>
      <c r="L150" s="197" t="s">
        <v>0</v>
      </c>
      <c r="M150" s="196">
        <v>10</v>
      </c>
      <c r="N150" s="196"/>
      <c r="O150" s="194">
        <f t="shared" si="37"/>
        <v>1000</v>
      </c>
      <c r="P150" s="193">
        <f>+I150</f>
        <v>9</v>
      </c>
      <c r="Q150" s="192">
        <f t="shared" si="38"/>
        <v>8988</v>
      </c>
      <c r="R150" s="80">
        <f>+R149/2</f>
        <v>5338</v>
      </c>
      <c r="S150" s="53" t="s">
        <v>93</v>
      </c>
      <c r="T150" s="56"/>
      <c r="U150" s="40">
        <f>IF(J150&lt;0,0,+O150*-J150)</f>
        <v>-2500</v>
      </c>
      <c r="V150" s="36" t="s">
        <v>92</v>
      </c>
    </row>
    <row r="151" spans="1:22" x14ac:dyDescent="0.2">
      <c r="A151" s="37"/>
      <c r="B151" s="205" t="s">
        <v>87</v>
      </c>
      <c r="C151" s="11" t="s">
        <v>91</v>
      </c>
      <c r="D151" s="214"/>
      <c r="E151" s="201" t="s">
        <v>10</v>
      </c>
      <c r="F151" s="213"/>
      <c r="G151" s="212"/>
      <c r="H151" s="44"/>
      <c r="I151" s="211"/>
      <c r="J151" s="210"/>
      <c r="K151" s="209" t="s">
        <v>90</v>
      </c>
      <c r="L151" s="208" t="s">
        <v>1</v>
      </c>
      <c r="M151" s="196"/>
      <c r="N151" s="196"/>
      <c r="O151" s="194">
        <f t="shared" si="37"/>
        <v>0</v>
      </c>
      <c r="P151" s="193">
        <f>+H151</f>
        <v>0</v>
      </c>
      <c r="Q151" s="192">
        <f t="shared" si="38"/>
        <v>-12</v>
      </c>
      <c r="R151" s="207"/>
      <c r="S151" s="53"/>
      <c r="T151" s="56"/>
    </row>
    <row r="152" spans="1:22" x14ac:dyDescent="0.2">
      <c r="A152" s="37"/>
      <c r="B152" s="205" t="s">
        <v>89</v>
      </c>
      <c r="C152" s="10" t="s">
        <v>86</v>
      </c>
      <c r="D152" s="204"/>
      <c r="E152" s="203"/>
      <c r="F152" s="202">
        <v>57.5</v>
      </c>
      <c r="G152" s="201" t="s">
        <v>73</v>
      </c>
      <c r="H152" s="51"/>
      <c r="I152" s="200">
        <v>1.7</v>
      </c>
      <c r="J152" s="199">
        <f>IF(F152=0,0,+F152-D151)</f>
        <v>57.5</v>
      </c>
      <c r="K152" s="198" t="s">
        <v>15</v>
      </c>
      <c r="L152" s="197" t="s">
        <v>1</v>
      </c>
      <c r="M152" s="196">
        <v>10</v>
      </c>
      <c r="N152" s="196"/>
      <c r="O152" s="194">
        <f t="shared" si="37"/>
        <v>1000</v>
      </c>
      <c r="P152" s="193">
        <f>+I152</f>
        <v>1.7</v>
      </c>
      <c r="Q152" s="192">
        <f t="shared" si="38"/>
        <v>1688</v>
      </c>
      <c r="R152" s="206">
        <f>-R148/R150</f>
        <v>0.77707006369426757</v>
      </c>
      <c r="S152" s="53" t="s">
        <v>88</v>
      </c>
      <c r="T152" s="56"/>
      <c r="U152" s="40">
        <f>IF(J152&lt;0,0,+O152*-J152)</f>
        <v>-57500</v>
      </c>
      <c r="V152" s="36" t="s">
        <v>83</v>
      </c>
    </row>
    <row r="153" spans="1:22" x14ac:dyDescent="0.2">
      <c r="A153" s="37"/>
      <c r="B153" s="205" t="s">
        <v>87</v>
      </c>
      <c r="C153" s="10" t="s">
        <v>86</v>
      </c>
      <c r="D153" s="204"/>
      <c r="E153" s="203"/>
      <c r="F153" s="202"/>
      <c r="G153" s="201" t="s">
        <v>10</v>
      </c>
      <c r="H153" s="51"/>
      <c r="I153" s="200"/>
      <c r="J153" s="199">
        <f>IF(F153=0,0,+F153-D151)</f>
        <v>0</v>
      </c>
      <c r="K153" s="198" t="s">
        <v>85</v>
      </c>
      <c r="L153" s="197" t="s">
        <v>1</v>
      </c>
      <c r="M153" s="196"/>
      <c r="N153" s="196"/>
      <c r="O153" s="194">
        <f t="shared" si="37"/>
        <v>0</v>
      </c>
      <c r="P153" s="193">
        <f>+I153</f>
        <v>0</v>
      </c>
      <c r="Q153" s="192">
        <f t="shared" si="38"/>
        <v>-12</v>
      </c>
      <c r="R153" s="80">
        <f>+R150*6</f>
        <v>32028</v>
      </c>
      <c r="S153" s="53" t="s">
        <v>84</v>
      </c>
      <c r="T153" s="56"/>
      <c r="U153" s="40">
        <f>IF(J153&lt;0,0,+O153*-J153)</f>
        <v>0</v>
      </c>
      <c r="V153" s="36" t="s">
        <v>83</v>
      </c>
    </row>
    <row r="154" spans="1:22" ht="16" thickBot="1" x14ac:dyDescent="0.25">
      <c r="A154" s="37"/>
      <c r="B154" s="58"/>
      <c r="C154" s="59"/>
      <c r="D154" s="60"/>
      <c r="E154" s="60"/>
      <c r="F154" s="21" t="s">
        <v>14</v>
      </c>
      <c r="G154" s="60"/>
      <c r="H154" s="191">
        <f>SUM(H148:H151)</f>
        <v>-9.4</v>
      </c>
      <c r="I154" s="22">
        <f>SUM(I149:I153)</f>
        <v>16</v>
      </c>
      <c r="J154" s="190">
        <f>+I154+H154</f>
        <v>6.6</v>
      </c>
      <c r="K154" s="62"/>
      <c r="L154" s="63"/>
      <c r="M154" s="67"/>
      <c r="N154" s="85"/>
      <c r="O154" s="64"/>
      <c r="P154" s="144" t="s">
        <v>82</v>
      </c>
      <c r="Q154" s="189">
        <f>SUM(Q148:Q153)</f>
        <v>6528</v>
      </c>
      <c r="R154" s="226">
        <f>+R153/-R148</f>
        <v>7.721311475409836</v>
      </c>
      <c r="S154" s="64" t="s">
        <v>81</v>
      </c>
      <c r="T154" s="66"/>
    </row>
    <row r="155" spans="1:22" ht="16" thickBot="1" x14ac:dyDescent="0.25">
      <c r="A155" s="37"/>
      <c r="B155" s="87" t="s">
        <v>117</v>
      </c>
      <c r="C155" s="225" t="s">
        <v>102</v>
      </c>
      <c r="D155" s="224" t="s">
        <v>116</v>
      </c>
      <c r="E155" s="228"/>
      <c r="F155" s="228"/>
      <c r="G155" s="223" t="s">
        <v>100</v>
      </c>
      <c r="H155" s="222">
        <v>70</v>
      </c>
      <c r="I155" s="221" t="s">
        <v>99</v>
      </c>
      <c r="J155" s="220"/>
      <c r="K155" s="219" t="s">
        <v>98</v>
      </c>
      <c r="L155" s="47"/>
      <c r="M155" s="47"/>
      <c r="N155" s="90"/>
      <c r="O155" s="70"/>
      <c r="P155" s="71"/>
      <c r="Q155" s="227" t="s">
        <v>115</v>
      </c>
      <c r="R155" s="84"/>
      <c r="S155" s="47"/>
      <c r="T155" s="48"/>
    </row>
    <row r="156" spans="1:22" x14ac:dyDescent="0.2">
      <c r="A156" s="37"/>
      <c r="B156" s="12" t="s">
        <v>97</v>
      </c>
      <c r="C156" s="11" t="s">
        <v>91</v>
      </c>
      <c r="D156" s="214">
        <v>55</v>
      </c>
      <c r="E156" s="201" t="s">
        <v>10</v>
      </c>
      <c r="F156" s="215"/>
      <c r="G156" s="203"/>
      <c r="H156" s="44">
        <v>-15.5</v>
      </c>
      <c r="I156" s="203"/>
      <c r="J156" s="217"/>
      <c r="K156" s="209" t="s">
        <v>23</v>
      </c>
      <c r="L156" s="216" t="s">
        <v>0</v>
      </c>
      <c r="M156" s="196">
        <v>10</v>
      </c>
      <c r="N156" s="195">
        <v>0</v>
      </c>
      <c r="O156" s="194">
        <f t="shared" ref="O156:O161" si="39">+M156*100</f>
        <v>1000</v>
      </c>
      <c r="P156" s="193">
        <f>+H156</f>
        <v>-15.5</v>
      </c>
      <c r="Q156" s="192">
        <f t="shared" ref="Q156:Q161" si="40">+O156*P156-12</f>
        <v>-15512</v>
      </c>
      <c r="R156" s="80">
        <f>+Q156+Q157+Q159+Q161</f>
        <v>-8398</v>
      </c>
      <c r="S156" s="53" t="s">
        <v>96</v>
      </c>
      <c r="T156" s="56"/>
    </row>
    <row r="157" spans="1:22" x14ac:dyDescent="0.2">
      <c r="A157" s="37"/>
      <c r="B157" s="12" t="s">
        <v>7</v>
      </c>
      <c r="C157" s="10" t="s">
        <v>86</v>
      </c>
      <c r="D157" s="215"/>
      <c r="E157" s="203"/>
      <c r="F157" s="202">
        <v>65</v>
      </c>
      <c r="G157" s="201" t="s">
        <v>10</v>
      </c>
      <c r="H157" s="51"/>
      <c r="I157" s="200">
        <v>7.15</v>
      </c>
      <c r="J157" s="199"/>
      <c r="K157" s="198" t="s">
        <v>17</v>
      </c>
      <c r="L157" s="197" t="s">
        <v>0</v>
      </c>
      <c r="M157" s="196">
        <v>10</v>
      </c>
      <c r="N157" s="195">
        <v>0</v>
      </c>
      <c r="O157" s="194">
        <f t="shared" si="39"/>
        <v>1000</v>
      </c>
      <c r="P157" s="193">
        <f>+I157</f>
        <v>7.15</v>
      </c>
      <c r="Q157" s="192">
        <f t="shared" si="40"/>
        <v>7138</v>
      </c>
      <c r="R157" s="80">
        <f>+Q158+Q160</f>
        <v>14226</v>
      </c>
      <c r="S157" s="53" t="s">
        <v>95</v>
      </c>
      <c r="T157" s="56"/>
    </row>
    <row r="158" spans="1:22" x14ac:dyDescent="0.2">
      <c r="A158" s="37"/>
      <c r="B158" s="12" t="s">
        <v>94</v>
      </c>
      <c r="C158" s="10" t="s">
        <v>86</v>
      </c>
      <c r="D158" s="215"/>
      <c r="E158" s="203"/>
      <c r="F158" s="202">
        <v>57.5</v>
      </c>
      <c r="G158" s="201" t="s">
        <v>73</v>
      </c>
      <c r="H158" s="51"/>
      <c r="I158" s="200">
        <v>13.25</v>
      </c>
      <c r="J158" s="199">
        <f>+((F157+D156)/2)-F158</f>
        <v>2.5</v>
      </c>
      <c r="K158" s="198" t="s">
        <v>24</v>
      </c>
      <c r="L158" s="197" t="s">
        <v>0</v>
      </c>
      <c r="M158" s="196">
        <v>10</v>
      </c>
      <c r="N158" s="195">
        <v>0</v>
      </c>
      <c r="O158" s="194">
        <f t="shared" si="39"/>
        <v>1000</v>
      </c>
      <c r="P158" s="193">
        <f>+I158</f>
        <v>13.25</v>
      </c>
      <c r="Q158" s="192">
        <f t="shared" si="40"/>
        <v>13238</v>
      </c>
      <c r="R158" s="80">
        <f>+R157/2</f>
        <v>7113</v>
      </c>
      <c r="S158" s="53" t="s">
        <v>93</v>
      </c>
      <c r="T158" s="56"/>
      <c r="U158" s="40">
        <f>IF(J158&lt;0,0,+O158*-J158)</f>
        <v>-2500</v>
      </c>
      <c r="V158" s="36" t="s">
        <v>92</v>
      </c>
    </row>
    <row r="159" spans="1:22" x14ac:dyDescent="0.2">
      <c r="A159" s="37"/>
      <c r="B159" s="205" t="s">
        <v>87</v>
      </c>
      <c r="C159" s="11" t="s">
        <v>91</v>
      </c>
      <c r="D159" s="214"/>
      <c r="E159" s="201" t="s">
        <v>10</v>
      </c>
      <c r="F159" s="213"/>
      <c r="G159" s="212"/>
      <c r="H159" s="44"/>
      <c r="I159" s="211"/>
      <c r="J159" s="210"/>
      <c r="K159" s="209" t="s">
        <v>90</v>
      </c>
      <c r="L159" s="208" t="s">
        <v>1</v>
      </c>
      <c r="M159" s="196"/>
      <c r="N159" s="195"/>
      <c r="O159" s="194">
        <f t="shared" si="39"/>
        <v>0</v>
      </c>
      <c r="P159" s="193">
        <f>+H159</f>
        <v>0</v>
      </c>
      <c r="Q159" s="192">
        <f t="shared" si="40"/>
        <v>-12</v>
      </c>
      <c r="R159" s="207"/>
      <c r="S159" s="53"/>
      <c r="T159" s="56"/>
    </row>
    <row r="160" spans="1:22" x14ac:dyDescent="0.2">
      <c r="A160" s="37"/>
      <c r="B160" s="205" t="s">
        <v>89</v>
      </c>
      <c r="C160" s="10" t="s">
        <v>86</v>
      </c>
      <c r="D160" s="204"/>
      <c r="E160" s="203"/>
      <c r="F160" s="202">
        <v>57.5</v>
      </c>
      <c r="G160" s="201" t="s">
        <v>73</v>
      </c>
      <c r="H160" s="51"/>
      <c r="I160" s="200">
        <v>1</v>
      </c>
      <c r="J160" s="199">
        <f>IF(F160=0,0,+F160-D159)</f>
        <v>57.5</v>
      </c>
      <c r="K160" s="198" t="s">
        <v>15</v>
      </c>
      <c r="L160" s="197" t="s">
        <v>1</v>
      </c>
      <c r="M160" s="196">
        <v>10</v>
      </c>
      <c r="N160" s="195">
        <v>0</v>
      </c>
      <c r="O160" s="194">
        <f t="shared" si="39"/>
        <v>1000</v>
      </c>
      <c r="P160" s="193">
        <f>+I160</f>
        <v>1</v>
      </c>
      <c r="Q160" s="192">
        <f t="shared" si="40"/>
        <v>988</v>
      </c>
      <c r="R160" s="206">
        <f>-R156/R158</f>
        <v>1.1806551384788415</v>
      </c>
      <c r="S160" s="53" t="s">
        <v>88</v>
      </c>
      <c r="T160" s="56"/>
      <c r="U160" s="40">
        <f>IF(J160&lt;0,0,+O160*-J160)</f>
        <v>-57500</v>
      </c>
      <c r="V160" s="36" t="s">
        <v>83</v>
      </c>
    </row>
    <row r="161" spans="1:22" x14ac:dyDescent="0.2">
      <c r="A161" s="37"/>
      <c r="B161" s="205" t="s">
        <v>87</v>
      </c>
      <c r="C161" s="10" t="s">
        <v>86</v>
      </c>
      <c r="D161" s="204"/>
      <c r="E161" s="203"/>
      <c r="F161" s="202"/>
      <c r="G161" s="201" t="s">
        <v>10</v>
      </c>
      <c r="H161" s="51"/>
      <c r="I161" s="200"/>
      <c r="J161" s="199">
        <f>IF(F161=0,0,+F161-D159)</f>
        <v>0</v>
      </c>
      <c r="K161" s="198" t="s">
        <v>85</v>
      </c>
      <c r="L161" s="197" t="s">
        <v>1</v>
      </c>
      <c r="M161" s="196"/>
      <c r="N161" s="195"/>
      <c r="O161" s="194">
        <f t="shared" si="39"/>
        <v>0</v>
      </c>
      <c r="P161" s="193">
        <f>+I161</f>
        <v>0</v>
      </c>
      <c r="Q161" s="192">
        <f t="shared" si="40"/>
        <v>-12</v>
      </c>
      <c r="R161" s="80">
        <f>+R158*6</f>
        <v>42678</v>
      </c>
      <c r="S161" s="53" t="s">
        <v>84</v>
      </c>
      <c r="T161" s="56"/>
      <c r="U161" s="40">
        <f>IF(J161&lt;0,0,+O161*-J161)</f>
        <v>0</v>
      </c>
      <c r="V161" s="36" t="s">
        <v>83</v>
      </c>
    </row>
    <row r="162" spans="1:22" ht="16" thickBot="1" x14ac:dyDescent="0.25">
      <c r="A162" s="37"/>
      <c r="B162" s="58"/>
      <c r="C162" s="59"/>
      <c r="D162" s="60"/>
      <c r="E162" s="60"/>
      <c r="F162" s="21" t="s">
        <v>14</v>
      </c>
      <c r="G162" s="60"/>
      <c r="H162" s="191">
        <f>SUM(H156:H159)</f>
        <v>-15.5</v>
      </c>
      <c r="I162" s="22">
        <f>SUM(I157:I161)</f>
        <v>21.4</v>
      </c>
      <c r="J162" s="190">
        <f>+I162+H162</f>
        <v>5.8999999999999986</v>
      </c>
      <c r="K162" s="62"/>
      <c r="L162" s="63"/>
      <c r="M162" s="67"/>
      <c r="N162" s="85"/>
      <c r="O162" s="64"/>
      <c r="P162" s="144" t="s">
        <v>82</v>
      </c>
      <c r="Q162" s="189">
        <f>SUM(Q156:Q161)</f>
        <v>5828</v>
      </c>
      <c r="R162" s="226">
        <f>+R161/-R156</f>
        <v>5.0819242676827816</v>
      </c>
      <c r="S162" s="64" t="s">
        <v>81</v>
      </c>
      <c r="T162" s="66"/>
    </row>
    <row r="163" spans="1:22" ht="20" thickBot="1" x14ac:dyDescent="0.3">
      <c r="A163" s="37"/>
      <c r="B163" s="187" t="s">
        <v>80</v>
      </c>
      <c r="C163" s="186"/>
      <c r="D163" s="185"/>
      <c r="E163" s="185"/>
      <c r="F163" s="184"/>
      <c r="G163" s="290" t="s">
        <v>79</v>
      </c>
      <c r="H163" s="291"/>
      <c r="I163" s="291"/>
      <c r="J163" s="291"/>
      <c r="K163" s="183"/>
      <c r="L163" s="183"/>
      <c r="M163" s="182"/>
      <c r="N163" s="181"/>
      <c r="O163" s="180"/>
      <c r="P163" s="179" t="s">
        <v>78</v>
      </c>
      <c r="Q163" s="178" t="s">
        <v>77</v>
      </c>
      <c r="R163" s="177" t="s">
        <v>76</v>
      </c>
      <c r="S163" s="176" t="s">
        <v>75</v>
      </c>
      <c r="T163" s="175" t="s">
        <v>74</v>
      </c>
      <c r="U163" s="174"/>
    </row>
    <row r="164" spans="1:22" x14ac:dyDescent="0.2">
      <c r="B164" s="173" t="s">
        <v>110</v>
      </c>
      <c r="C164" s="170"/>
      <c r="D164" s="170"/>
      <c r="E164" s="170"/>
      <c r="F164" s="170"/>
      <c r="G164" s="170"/>
      <c r="H164" s="170"/>
      <c r="I164" s="172"/>
      <c r="J164" s="171"/>
      <c r="K164" s="170"/>
      <c r="L164" s="170"/>
      <c r="M164" s="170"/>
      <c r="N164" s="170"/>
      <c r="O164" s="170"/>
      <c r="P164" s="169">
        <f>+R156+R164</f>
        <v>-8398</v>
      </c>
      <c r="Q164" s="168"/>
      <c r="R164" s="168"/>
      <c r="S164" s="167">
        <f>+R164</f>
        <v>0</v>
      </c>
      <c r="T164" s="166" t="e">
        <f t="shared" ref="T164:T169" si="41">+R164/Q164</f>
        <v>#DIV/0!</v>
      </c>
    </row>
    <row r="165" spans="1:22" x14ac:dyDescent="0.2">
      <c r="B165" s="163"/>
      <c r="C165" s="160"/>
      <c r="D165" s="160"/>
      <c r="E165" s="160"/>
      <c r="F165" s="160"/>
      <c r="G165" s="160"/>
      <c r="H165" s="160"/>
      <c r="I165" s="165"/>
      <c r="J165" s="161"/>
      <c r="K165" s="160"/>
      <c r="L165" s="160"/>
      <c r="M165" s="160"/>
      <c r="N165" s="160"/>
      <c r="O165" s="160"/>
      <c r="P165" s="159">
        <f t="shared" ref="P165:P170" si="42">+P164+R165</f>
        <v>-8398</v>
      </c>
      <c r="Q165" s="158"/>
      <c r="R165" s="158"/>
      <c r="S165" s="157">
        <f t="shared" ref="S165:S170" si="43">+S164+R165</f>
        <v>0</v>
      </c>
      <c r="T165" s="164" t="e">
        <f t="shared" si="41"/>
        <v>#DIV/0!</v>
      </c>
    </row>
    <row r="166" spans="1:22" x14ac:dyDescent="0.2">
      <c r="B166" s="163"/>
      <c r="C166" s="160"/>
      <c r="D166" s="160"/>
      <c r="E166" s="160"/>
      <c r="F166" s="160"/>
      <c r="G166" s="160"/>
      <c r="H166" s="160"/>
      <c r="I166" s="162"/>
      <c r="J166" s="161"/>
      <c r="K166" s="160"/>
      <c r="L166" s="160"/>
      <c r="M166" s="160"/>
      <c r="N166" s="160"/>
      <c r="O166" s="160"/>
      <c r="P166" s="159">
        <f t="shared" si="42"/>
        <v>-8398</v>
      </c>
      <c r="Q166" s="158"/>
      <c r="R166" s="158"/>
      <c r="S166" s="157">
        <f t="shared" si="43"/>
        <v>0</v>
      </c>
      <c r="T166" s="164" t="e">
        <f t="shared" si="41"/>
        <v>#DIV/0!</v>
      </c>
    </row>
    <row r="167" spans="1:22" x14ac:dyDescent="0.2">
      <c r="B167" s="163"/>
      <c r="C167" s="160"/>
      <c r="D167" s="160"/>
      <c r="E167" s="160"/>
      <c r="F167" s="160"/>
      <c r="G167" s="160"/>
      <c r="H167" s="160"/>
      <c r="I167" s="162"/>
      <c r="J167" s="161"/>
      <c r="K167" s="160"/>
      <c r="L167" s="160"/>
      <c r="M167" s="160"/>
      <c r="N167" s="160"/>
      <c r="O167" s="160"/>
      <c r="P167" s="159">
        <f t="shared" si="42"/>
        <v>-8398</v>
      </c>
      <c r="Q167" s="158"/>
      <c r="R167" s="158"/>
      <c r="S167" s="157">
        <f t="shared" si="43"/>
        <v>0</v>
      </c>
      <c r="T167" s="164" t="e">
        <f t="shared" si="41"/>
        <v>#DIV/0!</v>
      </c>
    </row>
    <row r="168" spans="1:22" x14ac:dyDescent="0.2">
      <c r="B168" s="163"/>
      <c r="C168" s="160"/>
      <c r="D168" s="160"/>
      <c r="E168" s="160"/>
      <c r="F168" s="160"/>
      <c r="G168" s="160"/>
      <c r="H168" s="160"/>
      <c r="I168" s="162"/>
      <c r="J168" s="161"/>
      <c r="K168" s="160"/>
      <c r="L168" s="160"/>
      <c r="M168" s="160"/>
      <c r="N168" s="160"/>
      <c r="O168" s="160"/>
      <c r="P168" s="159">
        <f t="shared" si="42"/>
        <v>-8398</v>
      </c>
      <c r="Q168" s="158"/>
      <c r="R168" s="158"/>
      <c r="S168" s="157">
        <f t="shared" si="43"/>
        <v>0</v>
      </c>
      <c r="T168" s="164" t="e">
        <f t="shared" si="41"/>
        <v>#DIV/0!</v>
      </c>
    </row>
    <row r="169" spans="1:22" ht="16" thickBot="1" x14ac:dyDescent="0.25">
      <c r="B169" s="163"/>
      <c r="C169" s="160"/>
      <c r="D169" s="160"/>
      <c r="E169" s="160"/>
      <c r="F169" s="160"/>
      <c r="G169" s="160"/>
      <c r="H169" s="160"/>
      <c r="I169" s="162"/>
      <c r="J169" s="161"/>
      <c r="K169" s="160"/>
      <c r="L169" s="160"/>
      <c r="M169" s="160"/>
      <c r="N169" s="160"/>
      <c r="O169" s="160"/>
      <c r="P169" s="159">
        <f t="shared" si="42"/>
        <v>-8398</v>
      </c>
      <c r="Q169" s="158"/>
      <c r="R169" s="158"/>
      <c r="S169" s="157">
        <f t="shared" si="43"/>
        <v>0</v>
      </c>
      <c r="T169" s="156" t="e">
        <f t="shared" si="41"/>
        <v>#DIV/0!</v>
      </c>
    </row>
    <row r="170" spans="1:22" ht="16" thickBot="1" x14ac:dyDescent="0.25">
      <c r="B170" s="155"/>
      <c r="C170" s="152"/>
      <c r="D170" s="152"/>
      <c r="E170" s="152"/>
      <c r="F170" s="152"/>
      <c r="G170" s="152"/>
      <c r="H170" s="152"/>
      <c r="I170" s="154"/>
      <c r="J170" s="153"/>
      <c r="K170" s="152"/>
      <c r="L170" s="152"/>
      <c r="M170" s="152"/>
      <c r="N170" s="152"/>
      <c r="O170" s="152"/>
      <c r="P170" s="151">
        <f t="shared" si="42"/>
        <v>-8398</v>
      </c>
      <c r="Q170" s="150"/>
      <c r="R170" s="150"/>
      <c r="S170" s="149">
        <f t="shared" si="43"/>
        <v>0</v>
      </c>
      <c r="T170" s="148"/>
    </row>
    <row r="171" spans="1:22" ht="16" thickBot="1" x14ac:dyDescent="0.25"/>
    <row r="172" spans="1:22" ht="16" thickBot="1" x14ac:dyDescent="0.25">
      <c r="A172" s="37"/>
      <c r="B172" s="87" t="s">
        <v>114</v>
      </c>
      <c r="C172" s="225" t="s">
        <v>102</v>
      </c>
      <c r="D172" s="224" t="s">
        <v>104</v>
      </c>
      <c r="E172" s="224"/>
      <c r="F172" s="224"/>
      <c r="G172" s="223" t="s">
        <v>100</v>
      </c>
      <c r="H172" s="222">
        <v>116.65</v>
      </c>
      <c r="I172" s="221" t="s">
        <v>99</v>
      </c>
      <c r="J172" s="220"/>
      <c r="K172" s="219" t="s">
        <v>98</v>
      </c>
      <c r="L172" s="47"/>
      <c r="M172" s="47"/>
      <c r="N172" s="90"/>
      <c r="O172" s="70"/>
      <c r="P172" s="71"/>
      <c r="Q172" s="218"/>
      <c r="R172" s="84"/>
      <c r="S172" s="47"/>
      <c r="T172" s="48"/>
    </row>
    <row r="173" spans="1:22" x14ac:dyDescent="0.2">
      <c r="A173" s="37"/>
      <c r="B173" s="12" t="s">
        <v>97</v>
      </c>
      <c r="C173" s="11" t="s">
        <v>91</v>
      </c>
      <c r="D173" s="214">
        <v>100</v>
      </c>
      <c r="E173" s="201" t="s">
        <v>41</v>
      </c>
      <c r="F173" s="215"/>
      <c r="G173" s="203"/>
      <c r="H173" s="44">
        <v>-26.15</v>
      </c>
      <c r="I173" s="203"/>
      <c r="J173" s="217"/>
      <c r="K173" s="209" t="s">
        <v>23</v>
      </c>
      <c r="L173" s="216" t="s">
        <v>0</v>
      </c>
      <c r="M173" s="196">
        <v>30</v>
      </c>
      <c r="N173" s="196"/>
      <c r="O173" s="194">
        <f t="shared" ref="O173:O178" si="44">+M173*100</f>
        <v>3000</v>
      </c>
      <c r="P173" s="193">
        <f>+H173</f>
        <v>-26.15</v>
      </c>
      <c r="Q173" s="192">
        <f t="shared" ref="Q173:Q178" si="45">+O173*P173-12</f>
        <v>-78462</v>
      </c>
      <c r="R173" s="80">
        <f>+Q173+Q174+Q176+Q178</f>
        <v>-32598</v>
      </c>
      <c r="S173" s="53" t="s">
        <v>96</v>
      </c>
      <c r="T173" s="56"/>
    </row>
    <row r="174" spans="1:22" x14ac:dyDescent="0.2">
      <c r="A174" s="37"/>
      <c r="B174" s="12" t="s">
        <v>7</v>
      </c>
      <c r="C174" s="10" t="s">
        <v>86</v>
      </c>
      <c r="D174" s="215"/>
      <c r="E174" s="203"/>
      <c r="F174" s="202">
        <v>130</v>
      </c>
      <c r="G174" s="201" t="s">
        <v>41</v>
      </c>
      <c r="H174" s="51"/>
      <c r="I174" s="200">
        <v>11.6</v>
      </c>
      <c r="J174" s="199"/>
      <c r="K174" s="198" t="s">
        <v>17</v>
      </c>
      <c r="L174" s="197" t="s">
        <v>0</v>
      </c>
      <c r="M174" s="196">
        <v>30</v>
      </c>
      <c r="N174" s="196"/>
      <c r="O174" s="194">
        <f t="shared" si="44"/>
        <v>3000</v>
      </c>
      <c r="P174" s="193">
        <f>+I174</f>
        <v>11.6</v>
      </c>
      <c r="Q174" s="192">
        <f t="shared" si="45"/>
        <v>34788</v>
      </c>
      <c r="R174" s="80">
        <f>+Q175+Q177</f>
        <v>12726</v>
      </c>
      <c r="S174" s="53" t="s">
        <v>95</v>
      </c>
      <c r="T174" s="56"/>
    </row>
    <row r="175" spans="1:22" x14ac:dyDescent="0.2">
      <c r="A175" s="37"/>
      <c r="B175" s="12" t="s">
        <v>94</v>
      </c>
      <c r="C175" s="10" t="s">
        <v>86</v>
      </c>
      <c r="D175" s="215"/>
      <c r="E175" s="203"/>
      <c r="F175" s="202">
        <v>115</v>
      </c>
      <c r="G175" s="201" t="s">
        <v>113</v>
      </c>
      <c r="H175" s="51"/>
      <c r="I175" s="200">
        <v>8.5</v>
      </c>
      <c r="J175" s="199">
        <f>+F175-((F174+D173)/2)</f>
        <v>0</v>
      </c>
      <c r="K175" s="198" t="s">
        <v>24</v>
      </c>
      <c r="L175" s="197" t="s">
        <v>0</v>
      </c>
      <c r="M175" s="196">
        <v>15</v>
      </c>
      <c r="N175" s="196"/>
      <c r="O175" s="194">
        <f t="shared" si="44"/>
        <v>1500</v>
      </c>
      <c r="P175" s="193">
        <f>+I175</f>
        <v>8.5</v>
      </c>
      <c r="Q175" s="192">
        <f t="shared" si="45"/>
        <v>12738</v>
      </c>
      <c r="R175" s="80">
        <f>+R174/2</f>
        <v>6363</v>
      </c>
      <c r="S175" s="53" t="s">
        <v>93</v>
      </c>
      <c r="T175" s="56"/>
      <c r="U175" s="40">
        <f>IF(J175&lt;0,0,+O175*-J175)</f>
        <v>0</v>
      </c>
      <c r="V175" s="36" t="s">
        <v>92</v>
      </c>
    </row>
    <row r="176" spans="1:22" x14ac:dyDescent="0.2">
      <c r="A176" s="37"/>
      <c r="B176" s="205" t="s">
        <v>87</v>
      </c>
      <c r="C176" s="11" t="s">
        <v>91</v>
      </c>
      <c r="D176" s="214"/>
      <c r="E176" s="201" t="s">
        <v>41</v>
      </c>
      <c r="F176" s="213"/>
      <c r="G176" s="212"/>
      <c r="H176" s="44"/>
      <c r="I176" s="211"/>
      <c r="J176" s="210"/>
      <c r="K176" s="209" t="s">
        <v>90</v>
      </c>
      <c r="L176" s="208" t="s">
        <v>1</v>
      </c>
      <c r="M176" s="196"/>
      <c r="N176" s="196"/>
      <c r="O176" s="194">
        <f t="shared" si="44"/>
        <v>0</v>
      </c>
      <c r="P176" s="193">
        <f>+H176</f>
        <v>0</v>
      </c>
      <c r="Q176" s="192">
        <f t="shared" si="45"/>
        <v>-12</v>
      </c>
      <c r="R176" s="207"/>
      <c r="S176" s="53"/>
      <c r="T176" s="56"/>
    </row>
    <row r="177" spans="1:22" x14ac:dyDescent="0.2">
      <c r="A177" s="37"/>
      <c r="B177" s="205" t="s">
        <v>89</v>
      </c>
      <c r="C177" s="10" t="s">
        <v>86</v>
      </c>
      <c r="D177" s="204"/>
      <c r="E177" s="203"/>
      <c r="F177" s="202"/>
      <c r="G177" s="201" t="s">
        <v>113</v>
      </c>
      <c r="H177" s="51"/>
      <c r="I177" s="200"/>
      <c r="J177" s="199">
        <f>IF(F177=0,0,+F177-D176)</f>
        <v>0</v>
      </c>
      <c r="K177" s="198" t="s">
        <v>15</v>
      </c>
      <c r="L177" s="197" t="s">
        <v>1</v>
      </c>
      <c r="M177" s="196"/>
      <c r="N177" s="196"/>
      <c r="O177" s="194">
        <f t="shared" si="44"/>
        <v>0</v>
      </c>
      <c r="P177" s="193">
        <f>+I177</f>
        <v>0</v>
      </c>
      <c r="Q177" s="192">
        <f t="shared" si="45"/>
        <v>-12</v>
      </c>
      <c r="R177" s="206">
        <f>-R173/R175</f>
        <v>5.1230551626591234</v>
      </c>
      <c r="S177" s="53" t="s">
        <v>88</v>
      </c>
      <c r="T177" s="56"/>
      <c r="U177" s="40">
        <f>IF(J177&lt;0,0,+O177*-J177)</f>
        <v>0</v>
      </c>
      <c r="V177" s="36" t="s">
        <v>83</v>
      </c>
    </row>
    <row r="178" spans="1:22" x14ac:dyDescent="0.2">
      <c r="A178" s="37"/>
      <c r="B178" s="205" t="s">
        <v>87</v>
      </c>
      <c r="C178" s="10" t="s">
        <v>86</v>
      </c>
      <c r="D178" s="204"/>
      <c r="E178" s="203"/>
      <c r="F178" s="202">
        <v>90</v>
      </c>
      <c r="G178" s="201" t="s">
        <v>41</v>
      </c>
      <c r="H178" s="51"/>
      <c r="I178" s="200">
        <v>7.4</v>
      </c>
      <c r="J178" s="199">
        <f>IF(F178=0,0,+F178-D176)</f>
        <v>90</v>
      </c>
      <c r="K178" s="198" t="s">
        <v>85</v>
      </c>
      <c r="L178" s="197" t="s">
        <v>1</v>
      </c>
      <c r="M178" s="196">
        <v>15</v>
      </c>
      <c r="N178" s="196"/>
      <c r="O178" s="194">
        <f t="shared" si="44"/>
        <v>1500</v>
      </c>
      <c r="P178" s="193">
        <f>+I178</f>
        <v>7.4</v>
      </c>
      <c r="Q178" s="192">
        <f t="shared" si="45"/>
        <v>11088</v>
      </c>
      <c r="R178" s="80">
        <f>+R175*6</f>
        <v>38178</v>
      </c>
      <c r="S178" s="53" t="s">
        <v>84</v>
      </c>
      <c r="T178" s="56"/>
      <c r="U178" s="40">
        <f>IF(J178&lt;0,0,+O178*-J178)</f>
        <v>-135000</v>
      </c>
      <c r="V178" s="36" t="s">
        <v>83</v>
      </c>
    </row>
    <row r="179" spans="1:22" ht="16" thickBot="1" x14ac:dyDescent="0.25">
      <c r="A179" s="37"/>
      <c r="B179" s="58"/>
      <c r="C179" s="59"/>
      <c r="D179" s="60"/>
      <c r="E179" s="60"/>
      <c r="F179" s="21" t="s">
        <v>14</v>
      </c>
      <c r="G179" s="60"/>
      <c r="H179" s="191">
        <f>SUM(H173:H176)</f>
        <v>-26.15</v>
      </c>
      <c r="I179" s="22">
        <f>SUM(I174:I178)</f>
        <v>27.5</v>
      </c>
      <c r="J179" s="190">
        <f>+I179+H179</f>
        <v>1.3500000000000014</v>
      </c>
      <c r="K179" s="62"/>
      <c r="L179" s="63"/>
      <c r="M179" s="67"/>
      <c r="N179" s="85"/>
      <c r="O179" s="64"/>
      <c r="P179" s="144" t="s">
        <v>82</v>
      </c>
      <c r="Q179" s="189">
        <f>SUM(Q173:Q178)</f>
        <v>-19872</v>
      </c>
      <c r="R179" s="188">
        <f>+R178/-R173</f>
        <v>1.1711761457758145</v>
      </c>
      <c r="S179" s="64" t="s">
        <v>81</v>
      </c>
      <c r="T179" s="66"/>
    </row>
    <row r="180" spans="1:22" ht="16" thickBot="1" x14ac:dyDescent="0.25">
      <c r="A180" s="37"/>
      <c r="B180" s="87" t="s">
        <v>112</v>
      </c>
      <c r="C180" s="225" t="s">
        <v>102</v>
      </c>
      <c r="D180" s="224" t="s">
        <v>111</v>
      </c>
      <c r="E180" s="224"/>
      <c r="F180" s="224"/>
      <c r="G180" s="223" t="s">
        <v>100</v>
      </c>
      <c r="H180" s="222">
        <v>116.65</v>
      </c>
      <c r="I180" s="221" t="s">
        <v>99</v>
      </c>
      <c r="J180" s="220"/>
      <c r="K180" s="219" t="s">
        <v>98</v>
      </c>
      <c r="L180" s="47"/>
      <c r="M180" s="47"/>
      <c r="N180" s="90"/>
      <c r="O180" s="70"/>
      <c r="P180" s="71"/>
      <c r="Q180" s="218"/>
      <c r="R180" s="84"/>
      <c r="S180" s="47"/>
      <c r="T180" s="48"/>
    </row>
    <row r="181" spans="1:22" x14ac:dyDescent="0.2">
      <c r="A181" s="37"/>
      <c r="B181" s="12" t="s">
        <v>97</v>
      </c>
      <c r="C181" s="11" t="s">
        <v>91</v>
      </c>
      <c r="D181" s="214">
        <v>100</v>
      </c>
      <c r="E181" s="201" t="s">
        <v>41</v>
      </c>
      <c r="F181" s="215"/>
      <c r="G181" s="203"/>
      <c r="H181" s="44">
        <v>-20.85</v>
      </c>
      <c r="I181" s="203"/>
      <c r="J181" s="217"/>
      <c r="K181" s="209" t="s">
        <v>23</v>
      </c>
      <c r="L181" s="216" t="s">
        <v>0</v>
      </c>
      <c r="M181" s="196">
        <v>10</v>
      </c>
      <c r="N181" s="195">
        <v>0</v>
      </c>
      <c r="O181" s="194">
        <f t="shared" ref="O181:O186" si="46">+M181*100</f>
        <v>1000</v>
      </c>
      <c r="P181" s="193">
        <f>+H181</f>
        <v>-20.85</v>
      </c>
      <c r="Q181" s="192">
        <f t="shared" ref="Q181:Q186" si="47">+O181*P181-12</f>
        <v>-20862</v>
      </c>
      <c r="R181" s="80">
        <f>+Q181+Q182+Q184+Q186</f>
        <v>-7973</v>
      </c>
      <c r="S181" s="53" t="s">
        <v>96</v>
      </c>
      <c r="T181" s="56"/>
    </row>
    <row r="182" spans="1:22" x14ac:dyDescent="0.2">
      <c r="A182" s="37"/>
      <c r="B182" s="12" t="s">
        <v>7</v>
      </c>
      <c r="C182" s="10" t="s">
        <v>86</v>
      </c>
      <c r="D182" s="215"/>
      <c r="E182" s="203"/>
      <c r="F182" s="202">
        <v>130</v>
      </c>
      <c r="G182" s="201" t="s">
        <v>41</v>
      </c>
      <c r="H182" s="51"/>
      <c r="I182" s="200">
        <v>8.5500000000000007</v>
      </c>
      <c r="J182" s="199"/>
      <c r="K182" s="198" t="s">
        <v>17</v>
      </c>
      <c r="L182" s="197" t="s">
        <v>0</v>
      </c>
      <c r="M182" s="196">
        <v>10</v>
      </c>
      <c r="N182" s="195">
        <v>0</v>
      </c>
      <c r="O182" s="194">
        <f t="shared" si="46"/>
        <v>1000</v>
      </c>
      <c r="P182" s="193">
        <f>+I182</f>
        <v>8.5500000000000007</v>
      </c>
      <c r="Q182" s="192">
        <f t="shared" si="47"/>
        <v>8538</v>
      </c>
      <c r="R182" s="80">
        <f>+Q183+Q185</f>
        <v>2176</v>
      </c>
      <c r="S182" s="53" t="s">
        <v>95</v>
      </c>
      <c r="T182" s="56"/>
    </row>
    <row r="183" spans="1:22" x14ac:dyDescent="0.2">
      <c r="A183" s="37"/>
      <c r="B183" s="12" t="s">
        <v>94</v>
      </c>
      <c r="C183" s="10" t="s">
        <v>86</v>
      </c>
      <c r="D183" s="215"/>
      <c r="E183" s="203"/>
      <c r="F183" s="202">
        <v>115</v>
      </c>
      <c r="G183" s="201" t="s">
        <v>73</v>
      </c>
      <c r="H183" s="51"/>
      <c r="I183" s="200">
        <v>4.4000000000000004</v>
      </c>
      <c r="J183" s="199">
        <f>+F183-((F182+D181)/2)</f>
        <v>0</v>
      </c>
      <c r="K183" s="198" t="s">
        <v>24</v>
      </c>
      <c r="L183" s="197" t="s">
        <v>0</v>
      </c>
      <c r="M183" s="196">
        <v>5</v>
      </c>
      <c r="N183" s="195">
        <v>0</v>
      </c>
      <c r="O183" s="194">
        <f t="shared" si="46"/>
        <v>500</v>
      </c>
      <c r="P183" s="193">
        <f>+I183</f>
        <v>4.4000000000000004</v>
      </c>
      <c r="Q183" s="192">
        <f t="shared" si="47"/>
        <v>2188</v>
      </c>
      <c r="R183" s="80">
        <f>+R182/2</f>
        <v>1088</v>
      </c>
      <c r="S183" s="53" t="s">
        <v>93</v>
      </c>
      <c r="T183" s="56"/>
      <c r="U183" s="40">
        <f>IF(J183&lt;0,0,+O183*-J183)</f>
        <v>0</v>
      </c>
      <c r="V183" s="36" t="s">
        <v>92</v>
      </c>
    </row>
    <row r="184" spans="1:22" x14ac:dyDescent="0.2">
      <c r="A184" s="37"/>
      <c r="B184" s="205" t="s">
        <v>87</v>
      </c>
      <c r="C184" s="11" t="s">
        <v>91</v>
      </c>
      <c r="D184" s="214"/>
      <c r="E184" s="201" t="s">
        <v>41</v>
      </c>
      <c r="F184" s="213"/>
      <c r="G184" s="212"/>
      <c r="H184" s="44"/>
      <c r="I184" s="211"/>
      <c r="J184" s="210"/>
      <c r="K184" s="209" t="s">
        <v>90</v>
      </c>
      <c r="L184" s="208" t="s">
        <v>1</v>
      </c>
      <c r="M184" s="196"/>
      <c r="N184" s="195"/>
      <c r="O184" s="194">
        <f t="shared" si="46"/>
        <v>0</v>
      </c>
      <c r="P184" s="193">
        <f>+H184</f>
        <v>0</v>
      </c>
      <c r="Q184" s="192">
        <f t="shared" si="47"/>
        <v>-12</v>
      </c>
      <c r="R184" s="207"/>
      <c r="S184" s="53"/>
      <c r="T184" s="56"/>
    </row>
    <row r="185" spans="1:22" x14ac:dyDescent="0.2">
      <c r="A185" s="37"/>
      <c r="B185" s="205" t="s">
        <v>89</v>
      </c>
      <c r="C185" s="10" t="s">
        <v>86</v>
      </c>
      <c r="D185" s="204"/>
      <c r="E185" s="203"/>
      <c r="F185" s="202"/>
      <c r="G185" s="201" t="s">
        <v>73</v>
      </c>
      <c r="H185" s="51"/>
      <c r="I185" s="200"/>
      <c r="J185" s="199">
        <f>IF(F185=0,0,+F185-D184)</f>
        <v>0</v>
      </c>
      <c r="K185" s="198" t="s">
        <v>15</v>
      </c>
      <c r="L185" s="197" t="s">
        <v>1</v>
      </c>
      <c r="M185" s="196"/>
      <c r="N185" s="195"/>
      <c r="O185" s="194">
        <f t="shared" si="46"/>
        <v>0</v>
      </c>
      <c r="P185" s="193">
        <f>+I185</f>
        <v>0</v>
      </c>
      <c r="Q185" s="192">
        <f t="shared" si="47"/>
        <v>-12</v>
      </c>
      <c r="R185" s="206">
        <f>-R181/R183</f>
        <v>7.328125</v>
      </c>
      <c r="S185" s="53" t="s">
        <v>88</v>
      </c>
      <c r="T185" s="56"/>
      <c r="U185" s="40">
        <f>IF(J185&lt;0,0,+O185*-J185)</f>
        <v>0</v>
      </c>
      <c r="V185" s="36" t="s">
        <v>83</v>
      </c>
    </row>
    <row r="186" spans="1:22" x14ac:dyDescent="0.2">
      <c r="A186" s="37"/>
      <c r="B186" s="205" t="s">
        <v>87</v>
      </c>
      <c r="C186" s="10" t="s">
        <v>86</v>
      </c>
      <c r="D186" s="204"/>
      <c r="E186" s="203"/>
      <c r="F186" s="202">
        <v>90</v>
      </c>
      <c r="G186" s="201" t="s">
        <v>41</v>
      </c>
      <c r="H186" s="51"/>
      <c r="I186" s="200">
        <v>8.75</v>
      </c>
      <c r="J186" s="199">
        <f>IF(F186=0,0,+F186-D184)</f>
        <v>90</v>
      </c>
      <c r="K186" s="198" t="s">
        <v>85</v>
      </c>
      <c r="L186" s="197" t="s">
        <v>1</v>
      </c>
      <c r="M186" s="196">
        <v>5</v>
      </c>
      <c r="N186" s="195">
        <v>0</v>
      </c>
      <c r="O186" s="194">
        <f t="shared" si="46"/>
        <v>500</v>
      </c>
      <c r="P186" s="193">
        <f>+I186</f>
        <v>8.75</v>
      </c>
      <c r="Q186" s="192">
        <f t="shared" si="47"/>
        <v>4363</v>
      </c>
      <c r="R186" s="80">
        <f>+R183*6</f>
        <v>6528</v>
      </c>
      <c r="S186" s="53" t="s">
        <v>84</v>
      </c>
      <c r="T186" s="56"/>
      <c r="U186" s="40">
        <f>IF(J186&lt;0,0,+O186*-J186)</f>
        <v>-45000</v>
      </c>
      <c r="V186" s="36" t="s">
        <v>83</v>
      </c>
    </row>
    <row r="187" spans="1:22" ht="16" thickBot="1" x14ac:dyDescent="0.25">
      <c r="A187" s="37"/>
      <c r="B187" s="58"/>
      <c r="C187" s="59"/>
      <c r="D187" s="60"/>
      <c r="E187" s="60"/>
      <c r="F187" s="21" t="s">
        <v>14</v>
      </c>
      <c r="G187" s="60"/>
      <c r="H187" s="191">
        <f>SUM(H181:H184)</f>
        <v>-20.85</v>
      </c>
      <c r="I187" s="22">
        <f>SUM(I182:I186)</f>
        <v>21.700000000000003</v>
      </c>
      <c r="J187" s="190">
        <f>+I187+H187</f>
        <v>0.85000000000000142</v>
      </c>
      <c r="K187" s="62"/>
      <c r="L187" s="63"/>
      <c r="M187" s="67"/>
      <c r="N187" s="85"/>
      <c r="O187" s="64"/>
      <c r="P187" s="144" t="s">
        <v>82</v>
      </c>
      <c r="Q187" s="189">
        <f>SUM(Q181:Q186)</f>
        <v>-5797</v>
      </c>
      <c r="R187" s="188">
        <f>+R186/-R181</f>
        <v>0.81876332622601278</v>
      </c>
      <c r="S187" s="64" t="s">
        <v>81</v>
      </c>
      <c r="T187" s="66"/>
    </row>
    <row r="188" spans="1:22" ht="20" thickBot="1" x14ac:dyDescent="0.3">
      <c r="A188" s="37"/>
      <c r="B188" s="187" t="s">
        <v>80</v>
      </c>
      <c r="C188" s="186"/>
      <c r="D188" s="185"/>
      <c r="E188" s="185"/>
      <c r="F188" s="184"/>
      <c r="G188" s="290" t="s">
        <v>79</v>
      </c>
      <c r="H188" s="291"/>
      <c r="I188" s="291"/>
      <c r="J188" s="291"/>
      <c r="K188" s="183"/>
      <c r="L188" s="183"/>
      <c r="M188" s="182"/>
      <c r="N188" s="181"/>
      <c r="O188" s="180"/>
      <c r="P188" s="179" t="s">
        <v>78</v>
      </c>
      <c r="Q188" s="178" t="s">
        <v>77</v>
      </c>
      <c r="R188" s="177" t="s">
        <v>76</v>
      </c>
      <c r="S188" s="176" t="s">
        <v>75</v>
      </c>
      <c r="T188" s="175" t="s">
        <v>74</v>
      </c>
      <c r="U188" s="174"/>
    </row>
    <row r="189" spans="1:22" x14ac:dyDescent="0.2">
      <c r="B189" s="173" t="s">
        <v>110</v>
      </c>
      <c r="C189" s="170"/>
      <c r="D189" s="170"/>
      <c r="E189" s="170"/>
      <c r="F189" s="170"/>
      <c r="G189" s="170"/>
      <c r="H189" s="170"/>
      <c r="I189" s="172"/>
      <c r="J189" s="171"/>
      <c r="K189" s="170"/>
      <c r="L189" s="170"/>
      <c r="M189" s="170"/>
      <c r="N189" s="170"/>
      <c r="O189" s="170"/>
      <c r="P189" s="169">
        <f>+R181+R189</f>
        <v>-7973</v>
      </c>
      <c r="Q189" s="168"/>
      <c r="R189" s="168"/>
      <c r="S189" s="167">
        <f>+R189</f>
        <v>0</v>
      </c>
      <c r="T189" s="166" t="e">
        <f t="shared" ref="T189:T194" si="48">+R189/Q189</f>
        <v>#DIV/0!</v>
      </c>
    </row>
    <row r="190" spans="1:22" x14ac:dyDescent="0.2">
      <c r="B190" s="163"/>
      <c r="C190" s="160"/>
      <c r="D190" s="160"/>
      <c r="E190" s="160"/>
      <c r="F190" s="160"/>
      <c r="G190" s="160"/>
      <c r="H190" s="160"/>
      <c r="I190" s="165"/>
      <c r="J190" s="161"/>
      <c r="K190" s="160"/>
      <c r="L190" s="160"/>
      <c r="M190" s="160"/>
      <c r="N190" s="160"/>
      <c r="O190" s="160"/>
      <c r="P190" s="159">
        <f t="shared" ref="P190:P195" si="49">+P189+R190</f>
        <v>-7973</v>
      </c>
      <c r="Q190" s="158"/>
      <c r="R190" s="158"/>
      <c r="S190" s="157">
        <f>+S189+R190</f>
        <v>0</v>
      </c>
      <c r="T190" s="164" t="e">
        <f t="shared" si="48"/>
        <v>#DIV/0!</v>
      </c>
    </row>
    <row r="191" spans="1:22" x14ac:dyDescent="0.2">
      <c r="B191" s="163"/>
      <c r="C191" s="160"/>
      <c r="D191" s="160"/>
      <c r="E191" s="160"/>
      <c r="F191" s="160"/>
      <c r="G191" s="160"/>
      <c r="H191" s="160"/>
      <c r="I191" s="162"/>
      <c r="J191" s="161"/>
      <c r="K191" s="160"/>
      <c r="L191" s="160"/>
      <c r="M191" s="160"/>
      <c r="N191" s="160"/>
      <c r="O191" s="160"/>
      <c r="P191" s="159">
        <f t="shared" si="49"/>
        <v>-7973</v>
      </c>
      <c r="Q191" s="158"/>
      <c r="R191" s="158"/>
      <c r="S191" s="157">
        <f>+S190+R191</f>
        <v>0</v>
      </c>
      <c r="T191" s="164" t="e">
        <f t="shared" si="48"/>
        <v>#DIV/0!</v>
      </c>
    </row>
    <row r="192" spans="1:22" x14ac:dyDescent="0.2">
      <c r="B192" s="163"/>
      <c r="C192" s="160"/>
      <c r="D192" s="160"/>
      <c r="E192" s="160"/>
      <c r="F192" s="160"/>
      <c r="G192" s="160"/>
      <c r="H192" s="160"/>
      <c r="I192" s="162"/>
      <c r="J192" s="161"/>
      <c r="K192" s="160"/>
      <c r="L192" s="160"/>
      <c r="M192" s="160"/>
      <c r="N192" s="160"/>
      <c r="O192" s="160"/>
      <c r="P192" s="159">
        <f t="shared" si="49"/>
        <v>-7973</v>
      </c>
      <c r="Q192" s="158"/>
      <c r="R192" s="158"/>
      <c r="S192" s="157"/>
      <c r="T192" s="164" t="e">
        <f t="shared" si="48"/>
        <v>#DIV/0!</v>
      </c>
    </row>
    <row r="193" spans="1:22" x14ac:dyDescent="0.2">
      <c r="B193" s="163"/>
      <c r="C193" s="160"/>
      <c r="D193" s="160"/>
      <c r="E193" s="160"/>
      <c r="F193" s="160"/>
      <c r="G193" s="160"/>
      <c r="H193" s="160"/>
      <c r="I193" s="162"/>
      <c r="J193" s="161"/>
      <c r="K193" s="160"/>
      <c r="L193" s="160"/>
      <c r="M193" s="160"/>
      <c r="N193" s="160"/>
      <c r="O193" s="160"/>
      <c r="P193" s="159">
        <f t="shared" si="49"/>
        <v>-7973</v>
      </c>
      <c r="Q193" s="158"/>
      <c r="R193" s="158"/>
      <c r="S193" s="157"/>
      <c r="T193" s="164" t="e">
        <f t="shared" si="48"/>
        <v>#DIV/0!</v>
      </c>
    </row>
    <row r="194" spans="1:22" ht="16" thickBot="1" x14ac:dyDescent="0.25">
      <c r="B194" s="163"/>
      <c r="C194" s="160"/>
      <c r="D194" s="160"/>
      <c r="E194" s="160"/>
      <c r="F194" s="160"/>
      <c r="G194" s="160"/>
      <c r="H194" s="160"/>
      <c r="I194" s="162"/>
      <c r="J194" s="161"/>
      <c r="K194" s="160"/>
      <c r="L194" s="160"/>
      <c r="M194" s="160"/>
      <c r="N194" s="160"/>
      <c r="O194" s="160"/>
      <c r="P194" s="159">
        <f t="shared" si="49"/>
        <v>-7973</v>
      </c>
      <c r="Q194" s="158"/>
      <c r="R194" s="158"/>
      <c r="S194" s="157"/>
      <c r="T194" s="156" t="e">
        <f t="shared" si="48"/>
        <v>#DIV/0!</v>
      </c>
    </row>
    <row r="195" spans="1:22" ht="16" thickBot="1" x14ac:dyDescent="0.25">
      <c r="B195" s="155"/>
      <c r="C195" s="152"/>
      <c r="D195" s="152"/>
      <c r="E195" s="152"/>
      <c r="F195" s="152"/>
      <c r="G195" s="152"/>
      <c r="H195" s="152"/>
      <c r="I195" s="154"/>
      <c r="J195" s="153"/>
      <c r="K195" s="152"/>
      <c r="L195" s="152"/>
      <c r="M195" s="152"/>
      <c r="N195" s="152"/>
      <c r="O195" s="152"/>
      <c r="P195" s="151">
        <f t="shared" si="49"/>
        <v>-7973</v>
      </c>
      <c r="Q195" s="150"/>
      <c r="R195" s="150"/>
      <c r="S195" s="149"/>
      <c r="T195" s="148"/>
    </row>
    <row r="196" spans="1:22" ht="16" thickBot="1" x14ac:dyDescent="0.25"/>
    <row r="197" spans="1:22" ht="16" thickBot="1" x14ac:dyDescent="0.25">
      <c r="A197" s="37"/>
      <c r="B197" s="87" t="s">
        <v>109</v>
      </c>
      <c r="C197" s="225" t="s">
        <v>102</v>
      </c>
      <c r="D197" s="224" t="s">
        <v>108</v>
      </c>
      <c r="E197" s="224"/>
      <c r="F197" s="224"/>
      <c r="G197" s="223" t="s">
        <v>100</v>
      </c>
      <c r="H197" s="222">
        <v>92.45</v>
      </c>
      <c r="I197" s="221" t="s">
        <v>99</v>
      </c>
      <c r="J197" s="220"/>
      <c r="K197" s="219" t="s">
        <v>98</v>
      </c>
      <c r="L197" s="47"/>
      <c r="M197" s="47"/>
      <c r="N197" s="90"/>
      <c r="O197" s="70"/>
      <c r="P197" s="71"/>
      <c r="Q197" s="218"/>
      <c r="R197" s="84"/>
      <c r="S197" s="47"/>
      <c r="T197" s="48"/>
    </row>
    <row r="198" spans="1:22" x14ac:dyDescent="0.2">
      <c r="A198" s="37"/>
      <c r="B198" s="12" t="s">
        <v>97</v>
      </c>
      <c r="C198" s="11" t="s">
        <v>91</v>
      </c>
      <c r="D198" s="214">
        <v>80</v>
      </c>
      <c r="E198" s="201" t="s">
        <v>10</v>
      </c>
      <c r="F198" s="215"/>
      <c r="G198" s="203"/>
      <c r="H198" s="44">
        <v>-30.2</v>
      </c>
      <c r="I198" s="203"/>
      <c r="J198" s="217"/>
      <c r="K198" s="209" t="s">
        <v>23</v>
      </c>
      <c r="L198" s="216" t="s">
        <v>0</v>
      </c>
      <c r="M198" s="196">
        <v>20</v>
      </c>
      <c r="N198" s="196"/>
      <c r="O198" s="194">
        <f t="shared" ref="O198:O203" si="50">+M198*100</f>
        <v>2000</v>
      </c>
      <c r="P198" s="193">
        <f>+H198</f>
        <v>-30.2</v>
      </c>
      <c r="Q198" s="192">
        <f t="shared" ref="Q198:Q203" si="51">+O198*P198-12</f>
        <v>-60412</v>
      </c>
      <c r="R198" s="80">
        <f>+Q198+Q199+Q201+Q203</f>
        <v>-11848</v>
      </c>
      <c r="S198" s="53" t="s">
        <v>96</v>
      </c>
      <c r="T198" s="56"/>
    </row>
    <row r="199" spans="1:22" x14ac:dyDescent="0.2">
      <c r="A199" s="37"/>
      <c r="B199" s="12" t="s">
        <v>7</v>
      </c>
      <c r="C199" s="10" t="s">
        <v>86</v>
      </c>
      <c r="D199" s="215"/>
      <c r="E199" s="203"/>
      <c r="F199" s="202">
        <v>110</v>
      </c>
      <c r="G199" s="201" t="s">
        <v>10</v>
      </c>
      <c r="H199" s="51"/>
      <c r="I199" s="200">
        <v>14</v>
      </c>
      <c r="J199" s="199"/>
      <c r="K199" s="198" t="s">
        <v>17</v>
      </c>
      <c r="L199" s="197" t="s">
        <v>0</v>
      </c>
      <c r="M199" s="196">
        <v>20</v>
      </c>
      <c r="N199" s="196"/>
      <c r="O199" s="194">
        <f t="shared" si="50"/>
        <v>2000</v>
      </c>
      <c r="P199" s="193">
        <f>+I199</f>
        <v>14</v>
      </c>
      <c r="Q199" s="192">
        <f t="shared" si="51"/>
        <v>27988</v>
      </c>
      <c r="R199" s="80">
        <f>+Q200+Q202</f>
        <v>5226</v>
      </c>
      <c r="S199" s="53" t="s">
        <v>95</v>
      </c>
      <c r="T199" s="56"/>
    </row>
    <row r="200" spans="1:22" x14ac:dyDescent="0.2">
      <c r="A200" s="37"/>
      <c r="B200" s="12" t="s">
        <v>94</v>
      </c>
      <c r="C200" s="10" t="s">
        <v>86</v>
      </c>
      <c r="D200" s="215"/>
      <c r="E200" s="203"/>
      <c r="F200" s="202">
        <v>100</v>
      </c>
      <c r="G200" s="201" t="s">
        <v>73</v>
      </c>
      <c r="H200" s="51"/>
      <c r="I200" s="200">
        <v>5.25</v>
      </c>
      <c r="J200" s="199">
        <f>+F200-((F199+D198)/2)</f>
        <v>5</v>
      </c>
      <c r="K200" s="198" t="s">
        <v>24</v>
      </c>
      <c r="L200" s="197" t="s">
        <v>0</v>
      </c>
      <c r="M200" s="196">
        <v>10</v>
      </c>
      <c r="N200" s="196"/>
      <c r="O200" s="194">
        <f t="shared" si="50"/>
        <v>1000</v>
      </c>
      <c r="P200" s="193">
        <f>+I200</f>
        <v>5.25</v>
      </c>
      <c r="Q200" s="192">
        <f t="shared" si="51"/>
        <v>5238</v>
      </c>
      <c r="R200" s="80">
        <f>+R199/2</f>
        <v>2613</v>
      </c>
      <c r="S200" s="53" t="s">
        <v>93</v>
      </c>
      <c r="T200" s="56"/>
      <c r="U200" s="40">
        <f>IF(J200&lt;0,0,+O200*-J200)</f>
        <v>-5000</v>
      </c>
      <c r="V200" s="36" t="s">
        <v>92</v>
      </c>
    </row>
    <row r="201" spans="1:22" x14ac:dyDescent="0.2">
      <c r="A201" s="37"/>
      <c r="B201" s="205" t="s">
        <v>87</v>
      </c>
      <c r="C201" s="11" t="s">
        <v>91</v>
      </c>
      <c r="D201" s="214"/>
      <c r="E201" s="201" t="s">
        <v>10</v>
      </c>
      <c r="F201" s="213"/>
      <c r="G201" s="212"/>
      <c r="H201" s="44"/>
      <c r="I201" s="211"/>
      <c r="J201" s="210"/>
      <c r="K201" s="209" t="s">
        <v>90</v>
      </c>
      <c r="L201" s="208" t="s">
        <v>1</v>
      </c>
      <c r="M201" s="196">
        <v>0</v>
      </c>
      <c r="N201" s="196"/>
      <c r="O201" s="194">
        <f t="shared" si="50"/>
        <v>0</v>
      </c>
      <c r="P201" s="193">
        <f>+H201</f>
        <v>0</v>
      </c>
      <c r="Q201" s="192">
        <f t="shared" si="51"/>
        <v>-12</v>
      </c>
      <c r="R201" s="207"/>
      <c r="S201" s="53"/>
      <c r="T201" s="56"/>
    </row>
    <row r="202" spans="1:22" x14ac:dyDescent="0.2">
      <c r="A202" s="37"/>
      <c r="B202" s="205" t="s">
        <v>89</v>
      </c>
      <c r="C202" s="10" t="s">
        <v>86</v>
      </c>
      <c r="D202" s="204"/>
      <c r="E202" s="203"/>
      <c r="F202" s="202"/>
      <c r="G202" s="201" t="s">
        <v>73</v>
      </c>
      <c r="H202" s="51"/>
      <c r="I202" s="200"/>
      <c r="J202" s="199">
        <f>IF(F202=0,0,+F202-D201)</f>
        <v>0</v>
      </c>
      <c r="K202" s="198" t="s">
        <v>15</v>
      </c>
      <c r="L202" s="197" t="s">
        <v>1</v>
      </c>
      <c r="M202" s="196">
        <v>0</v>
      </c>
      <c r="N202" s="196"/>
      <c r="O202" s="194">
        <f t="shared" si="50"/>
        <v>0</v>
      </c>
      <c r="P202" s="193">
        <f>+I202</f>
        <v>0</v>
      </c>
      <c r="Q202" s="192">
        <f t="shared" si="51"/>
        <v>-12</v>
      </c>
      <c r="R202" s="206">
        <f>-R198/R200</f>
        <v>4.5342518178339075</v>
      </c>
      <c r="S202" s="53" t="s">
        <v>88</v>
      </c>
      <c r="T202" s="56"/>
      <c r="U202" s="40">
        <f>IF(J202&lt;0,0,+O202*-J202)</f>
        <v>0</v>
      </c>
      <c r="V202" s="36" t="s">
        <v>83</v>
      </c>
    </row>
    <row r="203" spans="1:22" x14ac:dyDescent="0.2">
      <c r="A203" s="37"/>
      <c r="B203" s="205" t="s">
        <v>87</v>
      </c>
      <c r="C203" s="10" t="s">
        <v>86</v>
      </c>
      <c r="D203" s="204"/>
      <c r="E203" s="203"/>
      <c r="F203" s="202">
        <v>90</v>
      </c>
      <c r="G203" s="201" t="s">
        <v>10</v>
      </c>
      <c r="H203" s="51"/>
      <c r="I203" s="200">
        <v>10.3</v>
      </c>
      <c r="J203" s="199">
        <f>IF(F203=0,0,+F203-D201)</f>
        <v>90</v>
      </c>
      <c r="K203" s="198" t="s">
        <v>85</v>
      </c>
      <c r="L203" s="197" t="s">
        <v>1</v>
      </c>
      <c r="M203" s="196">
        <v>20</v>
      </c>
      <c r="N203" s="196"/>
      <c r="O203" s="194">
        <f t="shared" si="50"/>
        <v>2000</v>
      </c>
      <c r="P203" s="193">
        <f>+I203</f>
        <v>10.3</v>
      </c>
      <c r="Q203" s="192">
        <f t="shared" si="51"/>
        <v>20588</v>
      </c>
      <c r="R203" s="80">
        <f>+R200*6</f>
        <v>15678</v>
      </c>
      <c r="S203" s="53" t="s">
        <v>84</v>
      </c>
      <c r="T203" s="56"/>
      <c r="U203" s="40">
        <f>IF(J203&lt;0,0,+O203*-J203)</f>
        <v>-180000</v>
      </c>
      <c r="V203" s="36" t="s">
        <v>83</v>
      </c>
    </row>
    <row r="204" spans="1:22" ht="16" thickBot="1" x14ac:dyDescent="0.25">
      <c r="A204" s="37"/>
      <c r="B204" s="58"/>
      <c r="C204" s="59"/>
      <c r="D204" s="60"/>
      <c r="E204" s="60"/>
      <c r="F204" s="21" t="s">
        <v>14</v>
      </c>
      <c r="G204" s="60"/>
      <c r="H204" s="191">
        <f>SUM(H198:H201)</f>
        <v>-30.2</v>
      </c>
      <c r="I204" s="22">
        <f>SUM(I199:I203)</f>
        <v>29.55</v>
      </c>
      <c r="J204" s="190">
        <f>+I204+H204</f>
        <v>-0.64999999999999858</v>
      </c>
      <c r="K204" s="62"/>
      <c r="L204" s="63"/>
      <c r="M204" s="67"/>
      <c r="N204" s="85"/>
      <c r="O204" s="64"/>
      <c r="P204" s="144" t="s">
        <v>82</v>
      </c>
      <c r="Q204" s="189">
        <f>SUM(Q198:Q203)</f>
        <v>-6622</v>
      </c>
      <c r="R204" s="188">
        <f>+R203/-R198</f>
        <v>1.3232613099257258</v>
      </c>
      <c r="S204" s="64" t="s">
        <v>81</v>
      </c>
      <c r="T204" s="66"/>
    </row>
    <row r="205" spans="1:22" ht="16" thickBot="1" x14ac:dyDescent="0.25">
      <c r="A205" s="37"/>
      <c r="B205" s="87" t="s">
        <v>107</v>
      </c>
      <c r="C205" s="225" t="s">
        <v>102</v>
      </c>
      <c r="D205" s="224" t="s">
        <v>106</v>
      </c>
      <c r="E205" s="224"/>
      <c r="F205" s="224"/>
      <c r="G205" s="223" t="s">
        <v>100</v>
      </c>
      <c r="H205" s="222">
        <v>92.45</v>
      </c>
      <c r="I205" s="221" t="s">
        <v>99</v>
      </c>
      <c r="J205" s="220"/>
      <c r="K205" s="219" t="s">
        <v>98</v>
      </c>
      <c r="L205" s="47"/>
      <c r="M205" s="47"/>
      <c r="N205" s="90"/>
      <c r="O205" s="70"/>
      <c r="P205" s="71"/>
      <c r="Q205" s="218"/>
      <c r="R205" s="84"/>
      <c r="S205" s="47"/>
      <c r="T205" s="48"/>
    </row>
    <row r="206" spans="1:22" x14ac:dyDescent="0.2">
      <c r="A206" s="37"/>
      <c r="B206" s="12" t="s">
        <v>97</v>
      </c>
      <c r="C206" s="11" t="s">
        <v>91</v>
      </c>
      <c r="D206" s="214">
        <v>80</v>
      </c>
      <c r="E206" s="201" t="s">
        <v>10</v>
      </c>
      <c r="F206" s="215"/>
      <c r="G206" s="203"/>
      <c r="H206" s="44">
        <v>-16.25</v>
      </c>
      <c r="I206" s="203"/>
      <c r="J206" s="217"/>
      <c r="K206" s="209" t="s">
        <v>23</v>
      </c>
      <c r="L206" s="216" t="s">
        <v>0</v>
      </c>
      <c r="M206" s="196">
        <v>10</v>
      </c>
      <c r="N206" s="195">
        <v>0</v>
      </c>
      <c r="O206" s="194">
        <f t="shared" ref="O206:O211" si="52">+M206*100</f>
        <v>1000</v>
      </c>
      <c r="P206" s="193">
        <f>+H206</f>
        <v>-16.25</v>
      </c>
      <c r="Q206" s="192">
        <f t="shared" ref="Q206:Q211" si="53">+O206*P206-12</f>
        <v>-16262</v>
      </c>
      <c r="R206" s="80">
        <f>+Q206+Q207+Q209+Q211</f>
        <v>-6228</v>
      </c>
      <c r="S206" s="53" t="s">
        <v>96</v>
      </c>
      <c r="T206" s="56"/>
    </row>
    <row r="207" spans="1:22" x14ac:dyDescent="0.2">
      <c r="A207" s="37"/>
      <c r="B207" s="12" t="s">
        <v>7</v>
      </c>
      <c r="C207" s="10" t="s">
        <v>86</v>
      </c>
      <c r="D207" s="215"/>
      <c r="E207" s="203"/>
      <c r="F207" s="202">
        <v>110</v>
      </c>
      <c r="G207" s="201" t="s">
        <v>10</v>
      </c>
      <c r="H207" s="51"/>
      <c r="I207" s="200">
        <v>2.12</v>
      </c>
      <c r="J207" s="199"/>
      <c r="K207" s="198" t="s">
        <v>17</v>
      </c>
      <c r="L207" s="197" t="s">
        <v>0</v>
      </c>
      <c r="M207" s="196">
        <v>10</v>
      </c>
      <c r="N207" s="195">
        <v>0</v>
      </c>
      <c r="O207" s="194">
        <f t="shared" si="52"/>
        <v>1000</v>
      </c>
      <c r="P207" s="193">
        <f>+I207</f>
        <v>2.12</v>
      </c>
      <c r="Q207" s="192">
        <f t="shared" si="53"/>
        <v>2108</v>
      </c>
      <c r="R207" s="80">
        <f>+Q208+Q210</f>
        <v>286</v>
      </c>
      <c r="S207" s="53" t="s">
        <v>95</v>
      </c>
      <c r="T207" s="56"/>
    </row>
    <row r="208" spans="1:22" x14ac:dyDescent="0.2">
      <c r="A208" s="37"/>
      <c r="B208" s="12" t="s">
        <v>94</v>
      </c>
      <c r="C208" s="10" t="s">
        <v>86</v>
      </c>
      <c r="D208" s="215"/>
      <c r="E208" s="203"/>
      <c r="F208" s="202">
        <v>100</v>
      </c>
      <c r="G208" s="201" t="s">
        <v>73</v>
      </c>
      <c r="H208" s="51"/>
      <c r="I208" s="200">
        <v>0.62</v>
      </c>
      <c r="J208" s="199">
        <f>+F208-((F207+D206)/2)</f>
        <v>5</v>
      </c>
      <c r="K208" s="198" t="s">
        <v>24</v>
      </c>
      <c r="L208" s="197" t="s">
        <v>0</v>
      </c>
      <c r="M208" s="196">
        <v>5</v>
      </c>
      <c r="N208" s="195">
        <v>0</v>
      </c>
      <c r="O208" s="194">
        <f t="shared" si="52"/>
        <v>500</v>
      </c>
      <c r="P208" s="193">
        <f>+I208</f>
        <v>0.62</v>
      </c>
      <c r="Q208" s="192">
        <f t="shared" si="53"/>
        <v>298</v>
      </c>
      <c r="R208" s="80">
        <f>+R207/2</f>
        <v>143</v>
      </c>
      <c r="S208" s="53" t="s">
        <v>93</v>
      </c>
      <c r="T208" s="56"/>
      <c r="U208" s="40">
        <f>IF(J208&lt;0,0,+O208*-J208)</f>
        <v>-2500</v>
      </c>
      <c r="V208" s="36" t="s">
        <v>92</v>
      </c>
    </row>
    <row r="209" spans="1:22" x14ac:dyDescent="0.2">
      <c r="A209" s="37"/>
      <c r="B209" s="205" t="s">
        <v>87</v>
      </c>
      <c r="C209" s="11" t="s">
        <v>91</v>
      </c>
      <c r="D209" s="214"/>
      <c r="E209" s="201" t="s">
        <v>10</v>
      </c>
      <c r="F209" s="213"/>
      <c r="G209" s="212"/>
      <c r="H209" s="44"/>
      <c r="I209" s="211"/>
      <c r="J209" s="210"/>
      <c r="K209" s="209" t="s">
        <v>90</v>
      </c>
      <c r="L209" s="208" t="s">
        <v>1</v>
      </c>
      <c r="M209" s="196">
        <v>0</v>
      </c>
      <c r="N209" s="195">
        <v>0</v>
      </c>
      <c r="O209" s="194">
        <f t="shared" si="52"/>
        <v>0</v>
      </c>
      <c r="P209" s="193">
        <f>+H209</f>
        <v>0</v>
      </c>
      <c r="Q209" s="192">
        <f t="shared" si="53"/>
        <v>-12</v>
      </c>
      <c r="R209" s="207"/>
      <c r="S209" s="53"/>
      <c r="T209" s="56"/>
    </row>
    <row r="210" spans="1:22" x14ac:dyDescent="0.2">
      <c r="A210" s="37"/>
      <c r="B210" s="205" t="s">
        <v>89</v>
      </c>
      <c r="C210" s="10" t="s">
        <v>86</v>
      </c>
      <c r="D210" s="204"/>
      <c r="E210" s="203"/>
      <c r="F210" s="202"/>
      <c r="G210" s="201" t="s">
        <v>73</v>
      </c>
      <c r="H210" s="51"/>
      <c r="I210" s="200"/>
      <c r="J210" s="199">
        <f>IF(F210=0,0,+F210-D209)</f>
        <v>0</v>
      </c>
      <c r="K210" s="198" t="s">
        <v>15</v>
      </c>
      <c r="L210" s="197" t="s">
        <v>1</v>
      </c>
      <c r="M210" s="196">
        <v>0</v>
      </c>
      <c r="N210" s="195">
        <v>0</v>
      </c>
      <c r="O210" s="194">
        <f t="shared" si="52"/>
        <v>0</v>
      </c>
      <c r="P210" s="193">
        <f>+I210</f>
        <v>0</v>
      </c>
      <c r="Q210" s="192">
        <f t="shared" si="53"/>
        <v>-12</v>
      </c>
      <c r="R210" s="206">
        <f>-R206/R208</f>
        <v>43.552447552447553</v>
      </c>
      <c r="S210" s="53" t="s">
        <v>88</v>
      </c>
      <c r="T210" s="56"/>
      <c r="U210" s="40">
        <f>IF(J210&lt;0,0,+O210*-J210)</f>
        <v>0</v>
      </c>
      <c r="V210" s="36" t="s">
        <v>83</v>
      </c>
    </row>
    <row r="211" spans="1:22" x14ac:dyDescent="0.2">
      <c r="A211" s="37"/>
      <c r="B211" s="205" t="s">
        <v>87</v>
      </c>
      <c r="C211" s="10" t="s">
        <v>86</v>
      </c>
      <c r="D211" s="204"/>
      <c r="E211" s="203"/>
      <c r="F211" s="202">
        <v>90</v>
      </c>
      <c r="G211" s="201" t="s">
        <v>10</v>
      </c>
      <c r="H211" s="51"/>
      <c r="I211" s="200">
        <v>7.95</v>
      </c>
      <c r="J211" s="199">
        <f>IF(F211=0,0,+F211-D209)</f>
        <v>90</v>
      </c>
      <c r="K211" s="198" t="s">
        <v>85</v>
      </c>
      <c r="L211" s="197" t="s">
        <v>1</v>
      </c>
      <c r="M211" s="196">
        <v>10</v>
      </c>
      <c r="N211" s="195">
        <v>0</v>
      </c>
      <c r="O211" s="194">
        <f t="shared" si="52"/>
        <v>1000</v>
      </c>
      <c r="P211" s="193">
        <f>+I211</f>
        <v>7.95</v>
      </c>
      <c r="Q211" s="192">
        <f t="shared" si="53"/>
        <v>7938</v>
      </c>
      <c r="R211" s="80">
        <f>+R208*6</f>
        <v>858</v>
      </c>
      <c r="S211" s="53" t="s">
        <v>84</v>
      </c>
      <c r="T211" s="56"/>
      <c r="U211" s="40">
        <f>IF(J211&lt;0,0,+O211*-J211)</f>
        <v>-90000</v>
      </c>
      <c r="V211" s="36" t="s">
        <v>83</v>
      </c>
    </row>
    <row r="212" spans="1:22" ht="16" thickBot="1" x14ac:dyDescent="0.25">
      <c r="A212" s="37"/>
      <c r="B212" s="58"/>
      <c r="C212" s="59"/>
      <c r="D212" s="60"/>
      <c r="E212" s="60"/>
      <c r="F212" s="21" t="s">
        <v>14</v>
      </c>
      <c r="G212" s="60"/>
      <c r="H212" s="191">
        <f>SUM(H206:H209)</f>
        <v>-16.25</v>
      </c>
      <c r="I212" s="22">
        <f>SUM(I207:I211)</f>
        <v>10.690000000000001</v>
      </c>
      <c r="J212" s="190">
        <f>+I212+H212</f>
        <v>-5.5599999999999987</v>
      </c>
      <c r="K212" s="62"/>
      <c r="L212" s="63"/>
      <c r="M212" s="67"/>
      <c r="N212" s="85"/>
      <c r="O212" s="64"/>
      <c r="P212" s="144" t="s">
        <v>82</v>
      </c>
      <c r="Q212" s="189">
        <f>SUM(Q206:Q211)</f>
        <v>-5942</v>
      </c>
      <c r="R212" s="188">
        <f>+R211/-R206</f>
        <v>0.13776493256262043</v>
      </c>
      <c r="S212" s="64" t="s">
        <v>81</v>
      </c>
      <c r="T212" s="66"/>
    </row>
    <row r="213" spans="1:22" ht="20" thickBot="1" x14ac:dyDescent="0.3">
      <c r="A213" s="37"/>
      <c r="B213" s="187" t="s">
        <v>80</v>
      </c>
      <c r="C213" s="186"/>
      <c r="D213" s="185"/>
      <c r="E213" s="185"/>
      <c r="F213" s="184"/>
      <c r="G213" s="290" t="s">
        <v>79</v>
      </c>
      <c r="H213" s="291"/>
      <c r="I213" s="291"/>
      <c r="J213" s="291"/>
      <c r="K213" s="183"/>
      <c r="L213" s="183"/>
      <c r="M213" s="182"/>
      <c r="N213" s="181"/>
      <c r="O213" s="180"/>
      <c r="P213" s="179" t="s">
        <v>78</v>
      </c>
      <c r="Q213" s="178" t="s">
        <v>77</v>
      </c>
      <c r="R213" s="177" t="s">
        <v>76</v>
      </c>
      <c r="S213" s="176" t="s">
        <v>75</v>
      </c>
      <c r="T213" s="175" t="s">
        <v>74</v>
      </c>
      <c r="U213" s="174"/>
    </row>
    <row r="214" spans="1:22" x14ac:dyDescent="0.2">
      <c r="B214" s="173" t="s">
        <v>73</v>
      </c>
      <c r="C214" s="170"/>
      <c r="D214" s="170"/>
      <c r="E214" s="170"/>
      <c r="F214" s="170"/>
      <c r="G214" s="170"/>
      <c r="H214" s="170"/>
      <c r="I214" s="172"/>
      <c r="J214" s="171"/>
      <c r="K214" s="170"/>
      <c r="L214" s="170"/>
      <c r="M214" s="170"/>
      <c r="N214" s="170"/>
      <c r="O214" s="170"/>
      <c r="P214" s="169">
        <f>+R206+R214</f>
        <v>-6228</v>
      </c>
      <c r="Q214" s="168"/>
      <c r="R214" s="168"/>
      <c r="S214" s="167">
        <f>+R214</f>
        <v>0</v>
      </c>
      <c r="T214" s="166" t="e">
        <f t="shared" ref="T214:T219" si="54">+R214/Q214</f>
        <v>#DIV/0!</v>
      </c>
    </row>
    <row r="215" spans="1:22" x14ac:dyDescent="0.2">
      <c r="B215" s="163"/>
      <c r="C215" s="160"/>
      <c r="D215" s="160"/>
      <c r="E215" s="160"/>
      <c r="F215" s="160"/>
      <c r="G215" s="160"/>
      <c r="H215" s="160"/>
      <c r="I215" s="165"/>
      <c r="J215" s="161"/>
      <c r="K215" s="160"/>
      <c r="L215" s="160"/>
      <c r="M215" s="160"/>
      <c r="N215" s="160"/>
      <c r="O215" s="160"/>
      <c r="P215" s="159">
        <f t="shared" ref="P215:P220" si="55">+P214+R215</f>
        <v>-6228</v>
      </c>
      <c r="Q215" s="158"/>
      <c r="R215" s="158"/>
      <c r="S215" s="157">
        <f>+S214+R215</f>
        <v>0</v>
      </c>
      <c r="T215" s="164" t="e">
        <f t="shared" si="54"/>
        <v>#DIV/0!</v>
      </c>
    </row>
    <row r="216" spans="1:22" x14ac:dyDescent="0.2">
      <c r="B216" s="163"/>
      <c r="C216" s="160"/>
      <c r="D216" s="160"/>
      <c r="E216" s="160"/>
      <c r="F216" s="160"/>
      <c r="G216" s="160"/>
      <c r="H216" s="160"/>
      <c r="I216" s="162"/>
      <c r="J216" s="161"/>
      <c r="K216" s="160"/>
      <c r="L216" s="160"/>
      <c r="M216" s="160"/>
      <c r="N216" s="160"/>
      <c r="O216" s="160"/>
      <c r="P216" s="159">
        <f t="shared" si="55"/>
        <v>-6228</v>
      </c>
      <c r="Q216" s="158"/>
      <c r="R216" s="158"/>
      <c r="S216" s="157">
        <f>+S215+R216</f>
        <v>0</v>
      </c>
      <c r="T216" s="164" t="e">
        <f t="shared" si="54"/>
        <v>#DIV/0!</v>
      </c>
    </row>
    <row r="217" spans="1:22" x14ac:dyDescent="0.2">
      <c r="B217" s="163"/>
      <c r="C217" s="160"/>
      <c r="D217" s="160"/>
      <c r="E217" s="160"/>
      <c r="F217" s="160"/>
      <c r="G217" s="160"/>
      <c r="H217" s="160"/>
      <c r="I217" s="162"/>
      <c r="J217" s="161"/>
      <c r="K217" s="160"/>
      <c r="L217" s="160"/>
      <c r="M217" s="160"/>
      <c r="N217" s="160"/>
      <c r="O217" s="160"/>
      <c r="P217" s="159">
        <f t="shared" si="55"/>
        <v>-6228</v>
      </c>
      <c r="Q217" s="158"/>
      <c r="R217" s="158"/>
      <c r="S217" s="157"/>
      <c r="T217" s="164" t="e">
        <f t="shared" si="54"/>
        <v>#DIV/0!</v>
      </c>
    </row>
    <row r="218" spans="1:22" x14ac:dyDescent="0.2">
      <c r="B218" s="163"/>
      <c r="C218" s="160"/>
      <c r="D218" s="160"/>
      <c r="E218" s="160"/>
      <c r="F218" s="160"/>
      <c r="G218" s="160"/>
      <c r="H218" s="160"/>
      <c r="I218" s="162"/>
      <c r="J218" s="161"/>
      <c r="K218" s="160"/>
      <c r="L218" s="160"/>
      <c r="M218" s="160"/>
      <c r="N218" s="160"/>
      <c r="O218" s="160"/>
      <c r="P218" s="159">
        <f t="shared" si="55"/>
        <v>-6228</v>
      </c>
      <c r="Q218" s="158"/>
      <c r="R218" s="158"/>
      <c r="S218" s="157"/>
      <c r="T218" s="164" t="e">
        <f t="shared" si="54"/>
        <v>#DIV/0!</v>
      </c>
    </row>
    <row r="219" spans="1:22" ht="16" thickBot="1" x14ac:dyDescent="0.25">
      <c r="B219" s="163"/>
      <c r="C219" s="160"/>
      <c r="D219" s="160"/>
      <c r="E219" s="160"/>
      <c r="F219" s="160"/>
      <c r="G219" s="160"/>
      <c r="H219" s="160"/>
      <c r="I219" s="162"/>
      <c r="J219" s="161"/>
      <c r="K219" s="160"/>
      <c r="L219" s="160"/>
      <c r="M219" s="160"/>
      <c r="N219" s="160"/>
      <c r="O219" s="160"/>
      <c r="P219" s="159">
        <f t="shared" si="55"/>
        <v>-6228</v>
      </c>
      <c r="Q219" s="158"/>
      <c r="R219" s="158"/>
      <c r="S219" s="157"/>
      <c r="T219" s="156" t="e">
        <f t="shared" si="54"/>
        <v>#DIV/0!</v>
      </c>
    </row>
    <row r="220" spans="1:22" ht="16" thickBot="1" x14ac:dyDescent="0.25">
      <c r="B220" s="155"/>
      <c r="C220" s="152"/>
      <c r="D220" s="152"/>
      <c r="E220" s="152"/>
      <c r="F220" s="152"/>
      <c r="G220" s="152"/>
      <c r="H220" s="152"/>
      <c r="I220" s="154"/>
      <c r="J220" s="153"/>
      <c r="K220" s="152"/>
      <c r="L220" s="152"/>
      <c r="M220" s="152"/>
      <c r="N220" s="152"/>
      <c r="O220" s="152"/>
      <c r="P220" s="151">
        <f t="shared" si="55"/>
        <v>-6228</v>
      </c>
      <c r="Q220" s="150"/>
      <c r="R220" s="150"/>
      <c r="S220" s="149"/>
      <c r="T220" s="148"/>
    </row>
    <row r="221" spans="1:22" ht="16" thickBot="1" x14ac:dyDescent="0.25"/>
    <row r="222" spans="1:22" ht="16" thickBot="1" x14ac:dyDescent="0.25">
      <c r="A222" s="37"/>
      <c r="B222" s="87" t="s">
        <v>105</v>
      </c>
      <c r="C222" s="225" t="s">
        <v>102</v>
      </c>
      <c r="D222" s="224" t="s">
        <v>104</v>
      </c>
      <c r="E222" s="224"/>
      <c r="F222" s="224"/>
      <c r="G222" s="223" t="s">
        <v>100</v>
      </c>
      <c r="H222" s="222">
        <v>0</v>
      </c>
      <c r="I222" s="221" t="s">
        <v>99</v>
      </c>
      <c r="J222" s="220"/>
      <c r="K222" s="219" t="s">
        <v>98</v>
      </c>
      <c r="L222" s="47"/>
      <c r="M222" s="47"/>
      <c r="N222" s="90"/>
      <c r="O222" s="70"/>
      <c r="P222" s="71"/>
      <c r="Q222" s="218"/>
      <c r="R222" s="84"/>
      <c r="S222" s="47"/>
      <c r="T222" s="48"/>
    </row>
    <row r="223" spans="1:22" x14ac:dyDescent="0.2">
      <c r="A223" s="37"/>
      <c r="B223" s="12" t="s">
        <v>97</v>
      </c>
      <c r="C223" s="11" t="s">
        <v>91</v>
      </c>
      <c r="D223" s="214"/>
      <c r="E223" s="201" t="s">
        <v>41</v>
      </c>
      <c r="F223" s="215"/>
      <c r="G223" s="203"/>
      <c r="H223" s="44"/>
      <c r="I223" s="203"/>
      <c r="J223" s="217"/>
      <c r="K223" s="209" t="s">
        <v>23</v>
      </c>
      <c r="L223" s="216" t="s">
        <v>0</v>
      </c>
      <c r="M223" s="196">
        <v>0</v>
      </c>
      <c r="N223" s="196"/>
      <c r="O223" s="194">
        <f t="shared" ref="O223:O228" si="56">+M223*100</f>
        <v>0</v>
      </c>
      <c r="P223" s="193">
        <f>+H223</f>
        <v>0</v>
      </c>
      <c r="Q223" s="192">
        <f t="shared" ref="Q223:Q228" si="57">+O223*P223-12</f>
        <v>-12</v>
      </c>
      <c r="R223" s="80">
        <f>+Q223+Q224+Q226+Q228</f>
        <v>-48</v>
      </c>
      <c r="S223" s="53" t="s">
        <v>96</v>
      </c>
      <c r="T223" s="56"/>
    </row>
    <row r="224" spans="1:22" x14ac:dyDescent="0.2">
      <c r="A224" s="37"/>
      <c r="B224" s="12" t="s">
        <v>7</v>
      </c>
      <c r="C224" s="10" t="s">
        <v>86</v>
      </c>
      <c r="D224" s="215"/>
      <c r="E224" s="203"/>
      <c r="F224" s="202"/>
      <c r="G224" s="201" t="s">
        <v>41</v>
      </c>
      <c r="H224" s="51"/>
      <c r="I224" s="200"/>
      <c r="J224" s="199"/>
      <c r="K224" s="198" t="s">
        <v>17</v>
      </c>
      <c r="L224" s="197" t="s">
        <v>0</v>
      </c>
      <c r="M224" s="196">
        <v>0</v>
      </c>
      <c r="N224" s="196"/>
      <c r="O224" s="194">
        <f t="shared" si="56"/>
        <v>0</v>
      </c>
      <c r="P224" s="193">
        <f>+I224</f>
        <v>0</v>
      </c>
      <c r="Q224" s="192">
        <f t="shared" si="57"/>
        <v>-12</v>
      </c>
      <c r="R224" s="80">
        <f>+Q225+Q227</f>
        <v>-24</v>
      </c>
      <c r="S224" s="53" t="s">
        <v>95</v>
      </c>
      <c r="T224" s="56"/>
    </row>
    <row r="225" spans="1:22" x14ac:dyDescent="0.2">
      <c r="A225" s="37"/>
      <c r="B225" s="12" t="s">
        <v>94</v>
      </c>
      <c r="C225" s="10" t="s">
        <v>86</v>
      </c>
      <c r="D225" s="215"/>
      <c r="E225" s="203"/>
      <c r="F225" s="202"/>
      <c r="G225" s="201" t="s">
        <v>73</v>
      </c>
      <c r="H225" s="51"/>
      <c r="I225" s="200"/>
      <c r="J225" s="199">
        <f>+F225-((F224+D223)/2)</f>
        <v>0</v>
      </c>
      <c r="K225" s="198" t="s">
        <v>24</v>
      </c>
      <c r="L225" s="197" t="s">
        <v>0</v>
      </c>
      <c r="M225" s="196">
        <v>0</v>
      </c>
      <c r="N225" s="196"/>
      <c r="O225" s="194">
        <f t="shared" si="56"/>
        <v>0</v>
      </c>
      <c r="P225" s="193">
        <f>+I225</f>
        <v>0</v>
      </c>
      <c r="Q225" s="192">
        <f t="shared" si="57"/>
        <v>-12</v>
      </c>
      <c r="R225" s="80">
        <f>+R224/2</f>
        <v>-12</v>
      </c>
      <c r="S225" s="53" t="s">
        <v>93</v>
      </c>
      <c r="T225" s="56"/>
      <c r="U225" s="40">
        <f>IF(J225&lt;0,0,+O225*-J225)</f>
        <v>0</v>
      </c>
      <c r="V225" s="36" t="s">
        <v>92</v>
      </c>
    </row>
    <row r="226" spans="1:22" x14ac:dyDescent="0.2">
      <c r="A226" s="37"/>
      <c r="B226" s="205" t="s">
        <v>87</v>
      </c>
      <c r="C226" s="11" t="s">
        <v>91</v>
      </c>
      <c r="D226" s="214"/>
      <c r="E226" s="201" t="s">
        <v>41</v>
      </c>
      <c r="F226" s="213"/>
      <c r="G226" s="212"/>
      <c r="H226" s="44"/>
      <c r="I226" s="211"/>
      <c r="J226" s="210"/>
      <c r="K226" s="209" t="s">
        <v>90</v>
      </c>
      <c r="L226" s="208" t="s">
        <v>1</v>
      </c>
      <c r="M226" s="196">
        <v>0</v>
      </c>
      <c r="N226" s="196"/>
      <c r="O226" s="194">
        <f t="shared" si="56"/>
        <v>0</v>
      </c>
      <c r="P226" s="193">
        <f>+H226</f>
        <v>0</v>
      </c>
      <c r="Q226" s="192">
        <f t="shared" si="57"/>
        <v>-12</v>
      </c>
      <c r="R226" s="207"/>
      <c r="S226" s="53"/>
      <c r="T226" s="56"/>
    </row>
    <row r="227" spans="1:22" x14ac:dyDescent="0.2">
      <c r="A227" s="37"/>
      <c r="B227" s="205" t="s">
        <v>89</v>
      </c>
      <c r="C227" s="10" t="s">
        <v>86</v>
      </c>
      <c r="D227" s="204"/>
      <c r="E227" s="203"/>
      <c r="F227" s="202"/>
      <c r="G227" s="201" t="s">
        <v>73</v>
      </c>
      <c r="H227" s="51"/>
      <c r="I227" s="200"/>
      <c r="J227" s="199">
        <f>IF(F227=0,0,+F227-D226)</f>
        <v>0</v>
      </c>
      <c r="K227" s="198" t="s">
        <v>15</v>
      </c>
      <c r="L227" s="197" t="s">
        <v>1</v>
      </c>
      <c r="M227" s="196">
        <v>0</v>
      </c>
      <c r="N227" s="196"/>
      <c r="O227" s="194">
        <f t="shared" si="56"/>
        <v>0</v>
      </c>
      <c r="P227" s="193">
        <f>+I227</f>
        <v>0</v>
      </c>
      <c r="Q227" s="192">
        <f t="shared" si="57"/>
        <v>-12</v>
      </c>
      <c r="R227" s="206">
        <f>-R223/R225</f>
        <v>-4</v>
      </c>
      <c r="S227" s="53" t="s">
        <v>88</v>
      </c>
      <c r="T227" s="56"/>
      <c r="U227" s="40">
        <f>IF(J227&lt;0,0,+O227*-J227)</f>
        <v>0</v>
      </c>
      <c r="V227" s="36" t="s">
        <v>83</v>
      </c>
    </row>
    <row r="228" spans="1:22" x14ac:dyDescent="0.2">
      <c r="A228" s="37"/>
      <c r="B228" s="205" t="s">
        <v>87</v>
      </c>
      <c r="C228" s="10" t="s">
        <v>86</v>
      </c>
      <c r="D228" s="204"/>
      <c r="E228" s="203"/>
      <c r="F228" s="202"/>
      <c r="G228" s="201" t="s">
        <v>41</v>
      </c>
      <c r="H228" s="51"/>
      <c r="I228" s="200"/>
      <c r="J228" s="199">
        <f>IF(F228=0,0,+F228-D226)</f>
        <v>0</v>
      </c>
      <c r="K228" s="198" t="s">
        <v>85</v>
      </c>
      <c r="L228" s="197" t="s">
        <v>1</v>
      </c>
      <c r="M228" s="196">
        <v>0</v>
      </c>
      <c r="N228" s="196"/>
      <c r="O228" s="194">
        <f t="shared" si="56"/>
        <v>0</v>
      </c>
      <c r="P228" s="193">
        <f>+I228</f>
        <v>0</v>
      </c>
      <c r="Q228" s="192">
        <f t="shared" si="57"/>
        <v>-12</v>
      </c>
      <c r="R228" s="80">
        <f>+R225*6</f>
        <v>-72</v>
      </c>
      <c r="S228" s="53" t="s">
        <v>84</v>
      </c>
      <c r="T228" s="56"/>
      <c r="U228" s="40">
        <f>IF(J228&lt;0,0,+O228*-J228)</f>
        <v>0</v>
      </c>
      <c r="V228" s="36" t="s">
        <v>83</v>
      </c>
    </row>
    <row r="229" spans="1:22" ht="16" thickBot="1" x14ac:dyDescent="0.25">
      <c r="A229" s="37"/>
      <c r="B229" s="58"/>
      <c r="C229" s="59"/>
      <c r="D229" s="60"/>
      <c r="E229" s="60"/>
      <c r="F229" s="21" t="s">
        <v>14</v>
      </c>
      <c r="G229" s="60"/>
      <c r="H229" s="191">
        <f>SUM(H223:H226)</f>
        <v>0</v>
      </c>
      <c r="I229" s="22">
        <f>SUM(I224:I228)</f>
        <v>0</v>
      </c>
      <c r="J229" s="190">
        <f>+I229+H229</f>
        <v>0</v>
      </c>
      <c r="K229" s="62"/>
      <c r="L229" s="63"/>
      <c r="M229" s="67"/>
      <c r="N229" s="85"/>
      <c r="O229" s="64"/>
      <c r="P229" s="144" t="s">
        <v>82</v>
      </c>
      <c r="Q229" s="189">
        <f>SUM(Q223:Q228)</f>
        <v>-72</v>
      </c>
      <c r="R229" s="188">
        <f>+R228/-R223</f>
        <v>-1.5</v>
      </c>
      <c r="S229" s="64" t="s">
        <v>81</v>
      </c>
      <c r="T229" s="66"/>
    </row>
    <row r="230" spans="1:22" ht="16" thickBot="1" x14ac:dyDescent="0.25">
      <c r="A230" s="37"/>
      <c r="B230" s="87" t="s">
        <v>103</v>
      </c>
      <c r="C230" s="225" t="s">
        <v>102</v>
      </c>
      <c r="D230" s="224" t="s">
        <v>101</v>
      </c>
      <c r="E230" s="224"/>
      <c r="F230" s="224"/>
      <c r="G230" s="223" t="s">
        <v>100</v>
      </c>
      <c r="H230" s="222">
        <v>0</v>
      </c>
      <c r="I230" s="221" t="s">
        <v>99</v>
      </c>
      <c r="J230" s="220"/>
      <c r="K230" s="219" t="s">
        <v>98</v>
      </c>
      <c r="L230" s="47"/>
      <c r="M230" s="47"/>
      <c r="N230" s="90"/>
      <c r="O230" s="70"/>
      <c r="P230" s="71"/>
      <c r="Q230" s="218"/>
      <c r="R230" s="84"/>
      <c r="S230" s="47"/>
      <c r="T230" s="48"/>
    </row>
    <row r="231" spans="1:22" x14ac:dyDescent="0.2">
      <c r="A231" s="37"/>
      <c r="B231" s="12" t="s">
        <v>97</v>
      </c>
      <c r="C231" s="11" t="s">
        <v>91</v>
      </c>
      <c r="D231" s="214"/>
      <c r="E231" s="201" t="s">
        <v>41</v>
      </c>
      <c r="F231" s="215"/>
      <c r="G231" s="203"/>
      <c r="H231" s="44"/>
      <c r="I231" s="203"/>
      <c r="J231" s="217"/>
      <c r="K231" s="209" t="s">
        <v>23</v>
      </c>
      <c r="L231" s="216" t="s">
        <v>0</v>
      </c>
      <c r="M231" s="196">
        <v>0</v>
      </c>
      <c r="N231" s="195">
        <v>0</v>
      </c>
      <c r="O231" s="194">
        <f t="shared" ref="O231:O236" si="58">+M231*100</f>
        <v>0</v>
      </c>
      <c r="P231" s="193">
        <f>+H231</f>
        <v>0</v>
      </c>
      <c r="Q231" s="192">
        <f t="shared" ref="Q231:Q236" si="59">+O231*P231-12</f>
        <v>-12</v>
      </c>
      <c r="R231" s="80">
        <f>+Q231+Q232+Q234+Q236</f>
        <v>-48</v>
      </c>
      <c r="S231" s="53" t="s">
        <v>96</v>
      </c>
      <c r="T231" s="56"/>
    </row>
    <row r="232" spans="1:22" x14ac:dyDescent="0.2">
      <c r="A232" s="37"/>
      <c r="B232" s="12" t="s">
        <v>7</v>
      </c>
      <c r="C232" s="10" t="s">
        <v>86</v>
      </c>
      <c r="D232" s="215"/>
      <c r="E232" s="203"/>
      <c r="F232" s="202"/>
      <c r="G232" s="201" t="s">
        <v>41</v>
      </c>
      <c r="H232" s="51"/>
      <c r="I232" s="200"/>
      <c r="J232" s="199"/>
      <c r="K232" s="198" t="s">
        <v>17</v>
      </c>
      <c r="L232" s="197" t="s">
        <v>0</v>
      </c>
      <c r="M232" s="196">
        <v>0</v>
      </c>
      <c r="N232" s="195">
        <v>0</v>
      </c>
      <c r="O232" s="194">
        <f t="shared" si="58"/>
        <v>0</v>
      </c>
      <c r="P232" s="193">
        <f>+I232</f>
        <v>0</v>
      </c>
      <c r="Q232" s="192">
        <f t="shared" si="59"/>
        <v>-12</v>
      </c>
      <c r="R232" s="80">
        <f>+Q233+Q235</f>
        <v>-24</v>
      </c>
      <c r="S232" s="53" t="s">
        <v>95</v>
      </c>
      <c r="T232" s="56"/>
    </row>
    <row r="233" spans="1:22" x14ac:dyDescent="0.2">
      <c r="A233" s="37"/>
      <c r="B233" s="12" t="s">
        <v>94</v>
      </c>
      <c r="C233" s="10" t="s">
        <v>86</v>
      </c>
      <c r="D233" s="215"/>
      <c r="E233" s="203"/>
      <c r="F233" s="202"/>
      <c r="G233" s="201" t="s">
        <v>73</v>
      </c>
      <c r="H233" s="51"/>
      <c r="I233" s="200"/>
      <c r="J233" s="199">
        <f>+F233-((F232+D231)/2)</f>
        <v>0</v>
      </c>
      <c r="K233" s="198" t="s">
        <v>24</v>
      </c>
      <c r="L233" s="197" t="s">
        <v>0</v>
      </c>
      <c r="M233" s="196">
        <v>0</v>
      </c>
      <c r="N233" s="195">
        <v>0</v>
      </c>
      <c r="O233" s="194">
        <f t="shared" si="58"/>
        <v>0</v>
      </c>
      <c r="P233" s="193">
        <f>+I233</f>
        <v>0</v>
      </c>
      <c r="Q233" s="192">
        <f t="shared" si="59"/>
        <v>-12</v>
      </c>
      <c r="R233" s="80">
        <f>+R232/2</f>
        <v>-12</v>
      </c>
      <c r="S233" s="53" t="s">
        <v>93</v>
      </c>
      <c r="T233" s="56"/>
      <c r="U233" s="40">
        <f>IF(J233&lt;0,0,+O233*-J233)</f>
        <v>0</v>
      </c>
      <c r="V233" s="36" t="s">
        <v>92</v>
      </c>
    </row>
    <row r="234" spans="1:22" x14ac:dyDescent="0.2">
      <c r="A234" s="37"/>
      <c r="B234" s="205" t="s">
        <v>87</v>
      </c>
      <c r="C234" s="11" t="s">
        <v>91</v>
      </c>
      <c r="D234" s="214"/>
      <c r="E234" s="201" t="s">
        <v>41</v>
      </c>
      <c r="F234" s="213"/>
      <c r="G234" s="212"/>
      <c r="H234" s="44"/>
      <c r="I234" s="211"/>
      <c r="J234" s="210"/>
      <c r="K234" s="209" t="s">
        <v>90</v>
      </c>
      <c r="L234" s="208" t="s">
        <v>1</v>
      </c>
      <c r="M234" s="196">
        <v>0</v>
      </c>
      <c r="N234" s="195">
        <v>0</v>
      </c>
      <c r="O234" s="194">
        <f t="shared" si="58"/>
        <v>0</v>
      </c>
      <c r="P234" s="193">
        <f>+H234</f>
        <v>0</v>
      </c>
      <c r="Q234" s="192">
        <f t="shared" si="59"/>
        <v>-12</v>
      </c>
      <c r="R234" s="207"/>
      <c r="S234" s="53"/>
      <c r="T234" s="56"/>
    </row>
    <row r="235" spans="1:22" x14ac:dyDescent="0.2">
      <c r="A235" s="37"/>
      <c r="B235" s="205" t="s">
        <v>89</v>
      </c>
      <c r="C235" s="10" t="s">
        <v>86</v>
      </c>
      <c r="D235" s="204"/>
      <c r="E235" s="203"/>
      <c r="F235" s="202"/>
      <c r="G235" s="201" t="s">
        <v>73</v>
      </c>
      <c r="H235" s="51"/>
      <c r="I235" s="200"/>
      <c r="J235" s="199">
        <f>IF(F235=0,0,+F235-D234)</f>
        <v>0</v>
      </c>
      <c r="K235" s="198" t="s">
        <v>15</v>
      </c>
      <c r="L235" s="197" t="s">
        <v>1</v>
      </c>
      <c r="M235" s="196">
        <v>0</v>
      </c>
      <c r="N235" s="195">
        <v>0</v>
      </c>
      <c r="O235" s="194">
        <f t="shared" si="58"/>
        <v>0</v>
      </c>
      <c r="P235" s="193">
        <f>+I235</f>
        <v>0</v>
      </c>
      <c r="Q235" s="192">
        <f t="shared" si="59"/>
        <v>-12</v>
      </c>
      <c r="R235" s="206">
        <f>-R231/R233</f>
        <v>-4</v>
      </c>
      <c r="S235" s="53" t="s">
        <v>88</v>
      </c>
      <c r="T235" s="56"/>
      <c r="U235" s="40">
        <f>IF(J235&lt;0,0,+O235*-J235)</f>
        <v>0</v>
      </c>
      <c r="V235" s="36" t="s">
        <v>83</v>
      </c>
    </row>
    <row r="236" spans="1:22" x14ac:dyDescent="0.2">
      <c r="A236" s="37"/>
      <c r="B236" s="205" t="s">
        <v>87</v>
      </c>
      <c r="C236" s="10" t="s">
        <v>86</v>
      </c>
      <c r="D236" s="204"/>
      <c r="E236" s="203"/>
      <c r="F236" s="202"/>
      <c r="G236" s="201" t="s">
        <v>41</v>
      </c>
      <c r="H236" s="51"/>
      <c r="I236" s="200"/>
      <c r="J236" s="199">
        <f>IF(F236=0,0,+F236-D234)</f>
        <v>0</v>
      </c>
      <c r="K236" s="198" t="s">
        <v>85</v>
      </c>
      <c r="L236" s="197" t="s">
        <v>1</v>
      </c>
      <c r="M236" s="196">
        <v>0</v>
      </c>
      <c r="N236" s="195">
        <v>0</v>
      </c>
      <c r="O236" s="194">
        <f t="shared" si="58"/>
        <v>0</v>
      </c>
      <c r="P236" s="193">
        <f>+I236</f>
        <v>0</v>
      </c>
      <c r="Q236" s="192">
        <f t="shared" si="59"/>
        <v>-12</v>
      </c>
      <c r="R236" s="80">
        <f>+R233*6</f>
        <v>-72</v>
      </c>
      <c r="S236" s="53" t="s">
        <v>84</v>
      </c>
      <c r="T236" s="56"/>
      <c r="U236" s="40">
        <f>IF(J236&lt;0,0,+O236*-J236)</f>
        <v>0</v>
      </c>
      <c r="V236" s="36" t="s">
        <v>83</v>
      </c>
    </row>
    <row r="237" spans="1:22" ht="16" thickBot="1" x14ac:dyDescent="0.25">
      <c r="A237" s="37"/>
      <c r="B237" s="58"/>
      <c r="C237" s="59"/>
      <c r="D237" s="60"/>
      <c r="E237" s="60"/>
      <c r="F237" s="21" t="s">
        <v>14</v>
      </c>
      <c r="G237" s="60"/>
      <c r="H237" s="191">
        <f>SUM(H231:H234)</f>
        <v>0</v>
      </c>
      <c r="I237" s="22">
        <f>SUM(I232:I236)</f>
        <v>0</v>
      </c>
      <c r="J237" s="190">
        <f>+I237+H237</f>
        <v>0</v>
      </c>
      <c r="K237" s="62"/>
      <c r="L237" s="63"/>
      <c r="M237" s="67"/>
      <c r="N237" s="85"/>
      <c r="O237" s="64"/>
      <c r="P237" s="144" t="s">
        <v>82</v>
      </c>
      <c r="Q237" s="189">
        <f>SUM(Q231:Q236)</f>
        <v>-72</v>
      </c>
      <c r="R237" s="188">
        <f>+R236/-R231</f>
        <v>-1.5</v>
      </c>
      <c r="S237" s="64" t="s">
        <v>81</v>
      </c>
      <c r="T237" s="66"/>
    </row>
    <row r="238" spans="1:22" ht="20" thickBot="1" x14ac:dyDescent="0.3">
      <c r="A238" s="37"/>
      <c r="B238" s="187" t="s">
        <v>80</v>
      </c>
      <c r="C238" s="186"/>
      <c r="D238" s="185"/>
      <c r="E238" s="185"/>
      <c r="F238" s="184"/>
      <c r="G238" s="290" t="s">
        <v>79</v>
      </c>
      <c r="H238" s="291"/>
      <c r="I238" s="291"/>
      <c r="J238" s="291"/>
      <c r="K238" s="183"/>
      <c r="L238" s="183"/>
      <c r="M238" s="182"/>
      <c r="N238" s="181"/>
      <c r="O238" s="180"/>
      <c r="P238" s="179" t="s">
        <v>78</v>
      </c>
      <c r="Q238" s="178" t="s">
        <v>77</v>
      </c>
      <c r="R238" s="177" t="s">
        <v>76</v>
      </c>
      <c r="S238" s="176" t="s">
        <v>75</v>
      </c>
      <c r="T238" s="175" t="s">
        <v>74</v>
      </c>
      <c r="U238" s="174"/>
    </row>
    <row r="239" spans="1:22" x14ac:dyDescent="0.2">
      <c r="B239" s="173" t="s">
        <v>73</v>
      </c>
      <c r="C239" s="170"/>
      <c r="D239" s="170"/>
      <c r="E239" s="170"/>
      <c r="F239" s="170"/>
      <c r="G239" s="170"/>
      <c r="H239" s="170"/>
      <c r="I239" s="172"/>
      <c r="J239" s="171"/>
      <c r="K239" s="170"/>
      <c r="L239" s="170"/>
      <c r="M239" s="170"/>
      <c r="N239" s="170"/>
      <c r="O239" s="170"/>
      <c r="P239" s="169">
        <f>+R231+R239</f>
        <v>-48</v>
      </c>
      <c r="Q239" s="168"/>
      <c r="R239" s="168"/>
      <c r="S239" s="167">
        <f>+R239</f>
        <v>0</v>
      </c>
      <c r="T239" s="166" t="e">
        <f t="shared" ref="T239:T244" si="60">+R239/Q239</f>
        <v>#DIV/0!</v>
      </c>
    </row>
    <row r="240" spans="1:22" x14ac:dyDescent="0.2">
      <c r="B240" s="163"/>
      <c r="C240" s="160"/>
      <c r="D240" s="160"/>
      <c r="E240" s="160"/>
      <c r="F240" s="160"/>
      <c r="G240" s="160"/>
      <c r="H240" s="160"/>
      <c r="I240" s="165"/>
      <c r="J240" s="161"/>
      <c r="K240" s="160"/>
      <c r="L240" s="160"/>
      <c r="M240" s="160"/>
      <c r="N240" s="160"/>
      <c r="O240" s="160"/>
      <c r="P240" s="159">
        <f t="shared" ref="P240:P245" si="61">+P239+R240</f>
        <v>-48</v>
      </c>
      <c r="Q240" s="158"/>
      <c r="R240" s="158"/>
      <c r="S240" s="157">
        <f>+S239+R240</f>
        <v>0</v>
      </c>
      <c r="T240" s="164" t="e">
        <f t="shared" si="60"/>
        <v>#DIV/0!</v>
      </c>
    </row>
    <row r="241" spans="2:20" x14ac:dyDescent="0.2">
      <c r="B241" s="163"/>
      <c r="C241" s="160"/>
      <c r="D241" s="160"/>
      <c r="E241" s="160"/>
      <c r="F241" s="160"/>
      <c r="G241" s="160"/>
      <c r="H241" s="160"/>
      <c r="I241" s="162"/>
      <c r="J241" s="161"/>
      <c r="K241" s="160"/>
      <c r="L241" s="160"/>
      <c r="M241" s="160"/>
      <c r="N241" s="160"/>
      <c r="O241" s="160"/>
      <c r="P241" s="159">
        <f t="shared" si="61"/>
        <v>-48</v>
      </c>
      <c r="Q241" s="158"/>
      <c r="R241" s="158"/>
      <c r="S241" s="157">
        <f>+S240+R241</f>
        <v>0</v>
      </c>
      <c r="T241" s="164" t="e">
        <f t="shared" si="60"/>
        <v>#DIV/0!</v>
      </c>
    </row>
    <row r="242" spans="2:20" x14ac:dyDescent="0.2">
      <c r="B242" s="163"/>
      <c r="C242" s="160"/>
      <c r="D242" s="160"/>
      <c r="E242" s="160"/>
      <c r="F242" s="160"/>
      <c r="G242" s="160"/>
      <c r="H242" s="160"/>
      <c r="I242" s="162"/>
      <c r="J242" s="161"/>
      <c r="K242" s="160"/>
      <c r="L242" s="160"/>
      <c r="M242" s="160"/>
      <c r="N242" s="160"/>
      <c r="O242" s="160"/>
      <c r="P242" s="159">
        <f t="shared" si="61"/>
        <v>-48</v>
      </c>
      <c r="Q242" s="158"/>
      <c r="R242" s="158"/>
      <c r="S242" s="157"/>
      <c r="T242" s="164" t="e">
        <f t="shared" si="60"/>
        <v>#DIV/0!</v>
      </c>
    </row>
    <row r="243" spans="2:20" x14ac:dyDescent="0.2">
      <c r="B243" s="163"/>
      <c r="C243" s="160"/>
      <c r="D243" s="160"/>
      <c r="E243" s="160"/>
      <c r="F243" s="160"/>
      <c r="G243" s="160"/>
      <c r="H243" s="160"/>
      <c r="I243" s="162"/>
      <c r="J243" s="161"/>
      <c r="K243" s="160"/>
      <c r="L243" s="160"/>
      <c r="M243" s="160"/>
      <c r="N243" s="160"/>
      <c r="O243" s="160"/>
      <c r="P243" s="159">
        <f t="shared" si="61"/>
        <v>-48</v>
      </c>
      <c r="Q243" s="158"/>
      <c r="R243" s="158"/>
      <c r="S243" s="157"/>
      <c r="T243" s="164" t="e">
        <f t="shared" si="60"/>
        <v>#DIV/0!</v>
      </c>
    </row>
    <row r="244" spans="2:20" ht="16" thickBot="1" x14ac:dyDescent="0.25">
      <c r="B244" s="163"/>
      <c r="C244" s="160"/>
      <c r="D244" s="160"/>
      <c r="E244" s="160"/>
      <c r="F244" s="160"/>
      <c r="G244" s="160"/>
      <c r="H244" s="160"/>
      <c r="I244" s="162"/>
      <c r="J244" s="161"/>
      <c r="K244" s="160"/>
      <c r="L244" s="160"/>
      <c r="M244" s="160"/>
      <c r="N244" s="160"/>
      <c r="O244" s="160"/>
      <c r="P244" s="159">
        <f t="shared" si="61"/>
        <v>-48</v>
      </c>
      <c r="Q244" s="158"/>
      <c r="R244" s="158"/>
      <c r="S244" s="157"/>
      <c r="T244" s="156" t="e">
        <f t="shared" si="60"/>
        <v>#DIV/0!</v>
      </c>
    </row>
    <row r="245" spans="2:20" ht="16" thickBot="1" x14ac:dyDescent="0.25">
      <c r="B245" s="155"/>
      <c r="C245" s="152"/>
      <c r="D245" s="152"/>
      <c r="E245" s="152"/>
      <c r="F245" s="152"/>
      <c r="G245" s="152"/>
      <c r="H245" s="152"/>
      <c r="I245" s="154"/>
      <c r="J245" s="153"/>
      <c r="K245" s="152"/>
      <c r="L245" s="152"/>
      <c r="M245" s="152"/>
      <c r="N245" s="152"/>
      <c r="O245" s="152"/>
      <c r="P245" s="151">
        <f t="shared" si="61"/>
        <v>-48</v>
      </c>
      <c r="Q245" s="150"/>
      <c r="R245" s="150"/>
      <c r="S245" s="149"/>
      <c r="T245" s="148"/>
    </row>
  </sheetData>
  <mergeCells count="26">
    <mergeCell ref="G188:J188"/>
    <mergeCell ref="G213:J213"/>
    <mergeCell ref="G238:J238"/>
    <mergeCell ref="G39:J39"/>
    <mergeCell ref="G64:J64"/>
    <mergeCell ref="G113:J113"/>
    <mergeCell ref="G138:J138"/>
    <mergeCell ref="G163:J163"/>
    <mergeCell ref="G88:J88"/>
    <mergeCell ref="B2:B3"/>
    <mergeCell ref="K2:L3"/>
    <mergeCell ref="G2:G3"/>
    <mergeCell ref="E2:E3"/>
    <mergeCell ref="M2:M3"/>
    <mergeCell ref="I2:I3"/>
    <mergeCell ref="H2:H3"/>
    <mergeCell ref="F2:F3"/>
    <mergeCell ref="D2:D3"/>
    <mergeCell ref="J2:J3"/>
    <mergeCell ref="R2:T3"/>
    <mergeCell ref="Q2:Q3"/>
    <mergeCell ref="V2:V3"/>
    <mergeCell ref="U2:U3"/>
    <mergeCell ref="N2:N3"/>
    <mergeCell ref="O2:O3"/>
    <mergeCell ref="P2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OOP</vt:lpstr>
      <vt:lpstr>Butterfly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Broussard</dc:creator>
  <cp:lastModifiedBy>Microsoft Office User</cp:lastModifiedBy>
  <cp:lastPrinted>2015-11-02T20:42:34Z</cp:lastPrinted>
  <dcterms:created xsi:type="dcterms:W3CDTF">2015-10-09T21:16:56Z</dcterms:created>
  <dcterms:modified xsi:type="dcterms:W3CDTF">2016-11-22T03:01:08Z</dcterms:modified>
</cp:coreProperties>
</file>